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3"/>
  </bookViews>
  <sheets>
    <sheet name="BS" sheetId="1" r:id="rId1"/>
    <sheet name="IS" sheetId="2" r:id="rId2"/>
    <sheet name="equity" sheetId="3" r:id="rId3"/>
    <sheet name="CF " sheetId="4" r:id="rId4"/>
  </sheets>
  <externalReferences>
    <externalReference r:id="rId7"/>
    <externalReference r:id="rId8"/>
  </externalReferences>
  <definedNames>
    <definedName name="A472..A481_" localSheetId="2">'[2]Consol'!#REF!</definedName>
    <definedName name="A472..A481_">'[1]Consol'!#REF!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<sst xmlns="http://schemas.openxmlformats.org/spreadsheetml/2006/main" count="187" uniqueCount="144">
  <si>
    <t>TALAM CORPORATION BERHAD (1120-H)</t>
  </si>
  <si>
    <t>Condensed Consolidated Balance Sheets</t>
  </si>
  <si>
    <t>UNAUDITED</t>
  </si>
  <si>
    <t>AUDITED</t>
  </si>
  <si>
    <t>QUARTER</t>
  </si>
  <si>
    <t xml:space="preserve">AS AT </t>
  </si>
  <si>
    <t>AS AT</t>
  </si>
  <si>
    <t>PRECEDING</t>
  </si>
  <si>
    <t>FINANCIAL</t>
  </si>
  <si>
    <t>YEAR END</t>
  </si>
  <si>
    <t>31.01.2004</t>
  </si>
  <si>
    <t>RM000</t>
  </si>
  <si>
    <t>PROPERTY, PLANT AND EQUIPMENT</t>
  </si>
  <si>
    <t>LAND HELD FOR DEVELOPMENT</t>
  </si>
  <si>
    <t>INVESTMENT PROPERTIES</t>
  </si>
  <si>
    <t xml:space="preserve">GOODWILL </t>
  </si>
  <si>
    <t>SINKING FUND HELD BY TRUSTEES</t>
  </si>
  <si>
    <t>OTHER INVESTMENT</t>
  </si>
  <si>
    <t>LOANS AND FINANCING RECEIVABLES</t>
  </si>
  <si>
    <t>CURRENT ASSETS</t>
  </si>
  <si>
    <t>Development properties</t>
  </si>
  <si>
    <t xml:space="preserve"> </t>
  </si>
  <si>
    <t>Inventories</t>
  </si>
  <si>
    <t>Debtors</t>
  </si>
  <si>
    <t>Cash and cash equivalents</t>
  </si>
  <si>
    <t>Total Current Assets</t>
  </si>
  <si>
    <t>CURRENT LIABILITIES</t>
  </si>
  <si>
    <t>Short term borrowings</t>
  </si>
  <si>
    <t>Trade creditors</t>
  </si>
  <si>
    <t>Land Vendor</t>
  </si>
  <si>
    <t>Deferred Progress Billing (Short Term Portion)</t>
  </si>
  <si>
    <t>Other creditor</t>
  </si>
  <si>
    <t>Taxation</t>
  </si>
  <si>
    <t>Total Current Liabilities</t>
  </si>
  <si>
    <t>NET CURRENT ASSETS</t>
  </si>
  <si>
    <t>NET ASSETS</t>
  </si>
  <si>
    <t>Represented by:</t>
  </si>
  <si>
    <t>ORDINARY SHARE CAPITAL</t>
  </si>
  <si>
    <t>IRREDEEMABLE CONVERTIBLE PREFERENCE SHARES</t>
  </si>
  <si>
    <t>LESS: TREASURY SHARES</t>
  </si>
  <si>
    <t>RESERVES</t>
  </si>
  <si>
    <t>SHAREHOLDERS' FUND</t>
  </si>
  <si>
    <t>MINORITY INTERESTS</t>
  </si>
  <si>
    <t>LONG TERM LIABILITIES</t>
  </si>
  <si>
    <t>Borrowings</t>
  </si>
  <si>
    <t>Deferred Progress Billing (Long Term Portion)</t>
  </si>
  <si>
    <t>Land Vendors</t>
  </si>
  <si>
    <t>Other deferred liabilities</t>
  </si>
  <si>
    <t>TOTAL CAPITAL EMPLOYED</t>
  </si>
  <si>
    <t>Net tangible assets per share (RM) after netting off</t>
  </si>
  <si>
    <t xml:space="preserve">The Condensed Consolidated Balance Sheet should be read in conjunction with </t>
  </si>
  <si>
    <t>the Annual Financial Report for the year ended 31st January 2004.</t>
  </si>
  <si>
    <t>Condensed Consolidated Income Statements</t>
  </si>
  <si>
    <t>2004</t>
  </si>
  <si>
    <t>Current Quarter</t>
  </si>
  <si>
    <t>Comparative quarter</t>
  </si>
  <si>
    <t>Cumulative to-date</t>
  </si>
  <si>
    <t>RM'000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</si>
  <si>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</si>
  <si>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</si>
  <si>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</si>
  <si>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</si>
  <si>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</si>
  <si>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</si>
  <si>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</si>
  <si>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Profit after tax</t>
  </si>
  <si>
    <t>Minority Interest</t>
  </si>
  <si>
    <t>Net Profit for the period</t>
  </si>
  <si>
    <t xml:space="preserve">Weighted average no of </t>
  </si>
  <si>
    <t xml:space="preserve">The Condensed Consolidated Income Statement should be read in conjunction with </t>
  </si>
  <si>
    <t>the Annual Financial Report for the year ended 31st January 2004</t>
  </si>
  <si>
    <t>TALAM CORPORATION BERHAD</t>
  </si>
  <si>
    <t>CONDENSED CASHFLOW STATEMENT</t>
  </si>
  <si>
    <t>RM '000</t>
  </si>
  <si>
    <t>Net cash used in operations</t>
  </si>
  <si>
    <t>Net cash used in investing activities</t>
  </si>
  <si>
    <t>Net cash used in financing activities</t>
  </si>
  <si>
    <t>NET DECREASE IN CASH AND CASH EQUIVALENT</t>
  </si>
  <si>
    <t>CASH AND CASH EQUIVALENTS AT BEGINNING OF THE YEAR</t>
  </si>
  <si>
    <t>CASH AND CASH EQUIVALENTS AT END OF THE YEAR</t>
  </si>
  <si>
    <t>Cash and bank balances</t>
  </si>
  <si>
    <t>Deposits</t>
  </si>
  <si>
    <t>Bank overdrafts</t>
  </si>
  <si>
    <t>Less : Short  Term Deposit Restricted in Use</t>
  </si>
  <si>
    <t xml:space="preserve">The Condensed Consolidated Statement of Changes In Equity should be read in conjunction with </t>
  </si>
  <si>
    <t>Condensed Consolidated Statements of Changes in Equity</t>
  </si>
  <si>
    <t>Non-Distributable Reserves</t>
  </si>
  <si>
    <t>Distributable</t>
  </si>
  <si>
    <t>Reserves</t>
  </si>
  <si>
    <t>Share</t>
  </si>
  <si>
    <t>Capital</t>
  </si>
  <si>
    <t>Foreign</t>
  </si>
  <si>
    <t>Equity</t>
  </si>
  <si>
    <t>Retained</t>
  </si>
  <si>
    <t xml:space="preserve">Treasury </t>
  </si>
  <si>
    <t>Premium</t>
  </si>
  <si>
    <t xml:space="preserve">Exchange </t>
  </si>
  <si>
    <t>Components</t>
  </si>
  <si>
    <t>Profits</t>
  </si>
  <si>
    <t>Shares</t>
  </si>
  <si>
    <t>Total</t>
  </si>
  <si>
    <t>of ICULS</t>
  </si>
  <si>
    <t>Acquisition of treasury shares</t>
  </si>
  <si>
    <t>Increase in equity component of ICPS</t>
  </si>
  <si>
    <t>Disposal of treasury shares</t>
  </si>
  <si>
    <t>Foreign exchange differences</t>
  </si>
  <si>
    <t>Dividend</t>
  </si>
  <si>
    <t>Financial Year Ended 31 January 2004</t>
  </si>
  <si>
    <t>Balance at 31 January 2003</t>
  </si>
  <si>
    <t>Issuance of ordinary shares</t>
  </si>
  <si>
    <t>Issuance of RCPS</t>
  </si>
  <si>
    <t>Conversion of RCPS</t>
  </si>
  <si>
    <t>Exerciseof Warrants 2000/2005</t>
  </si>
  <si>
    <t>Conversion of 7% ICULS 2003/2005</t>
  </si>
  <si>
    <t>Issuance of ICPS</t>
  </si>
  <si>
    <t>Liability component of ICPS</t>
  </si>
  <si>
    <t>Distribution of non-property related companies via cancellation of share premium</t>
  </si>
  <si>
    <t>Equity components of ICULS</t>
  </si>
  <si>
    <t>Realisation of bonus issue arising from disposal of a subsidiary</t>
  </si>
  <si>
    <t>Net Profit for the year</t>
  </si>
  <si>
    <t>Dividends</t>
  </si>
  <si>
    <t>Balance at 31 January 2004</t>
  </si>
  <si>
    <t>As At 31 January 2005</t>
  </si>
  <si>
    <t>31.01. 2005</t>
  </si>
  <si>
    <t>Deferred Rental Payments (Short Term Portion)</t>
  </si>
  <si>
    <t xml:space="preserve">Irredeemable Convertible Unsecured Loan Stocks </t>
  </si>
  <si>
    <t>Deferred Rental Payments (Long Term Portion)</t>
  </si>
  <si>
    <t>For the quarter ended 31st January 2005</t>
  </si>
  <si>
    <t>2005</t>
  </si>
  <si>
    <t>Ended 31 Jan</t>
  </si>
  <si>
    <t>12 months</t>
  </si>
  <si>
    <t>FOR THE YEAR ENDED 31 JANUARY 2005</t>
  </si>
  <si>
    <t>For the Year ended 31st January 2005</t>
  </si>
  <si>
    <t>Financial Year Ended 31 January 2005</t>
  </si>
  <si>
    <t>Conversion of 7% ICULS from liability components</t>
  </si>
  <si>
    <t>Conversion of 7% ICULS from equity components</t>
  </si>
  <si>
    <t>Earnings Per Share - Basic (Sen)</t>
  </si>
  <si>
    <t>ordinary shares ( '000 )</t>
  </si>
  <si>
    <t xml:space="preserve">  Nil (2004 : 23,000) Treasury Shares</t>
  </si>
  <si>
    <t>Gain on disposal of treasury shares</t>
  </si>
  <si>
    <t>Audit adjustment</t>
  </si>
  <si>
    <t>Announced 31-3-05</t>
  </si>
  <si>
    <t>Cash and cash equivalent at end of financial year comprise:</t>
  </si>
  <si>
    <t>Balance at 31 January 2005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</si>
</sst>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-mmm\-yy_)"/>
    <numFmt numFmtId="171" formatCode="hh:mm\ AM/PM_)"/>
    <numFmt numFmtId="172" formatCode="mm/dd/yy_)"/>
    <numFmt numFmtId="173" formatCode="#,##0.000_);\(#,##0.000\)"/>
    <numFmt numFmtId="174" formatCode="0.000_)"/>
    <numFmt numFmtId="175" formatCode="#,##0.0000_);\(#,##0.0000\)"/>
    <numFmt numFmtId="176" formatCode="0.0000_)"/>
    <numFmt numFmtId="177" formatCode="0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#,##0.0_);\(#,##0.0\)"/>
    <numFmt numFmtId="182" formatCode="0.00_);\(0.00\)"/>
    <numFmt numFmtId="183" formatCode="0.0_);\(0.0\)"/>
    <numFmt numFmtId="184" formatCode="0_);\(0\)"/>
    <numFmt numFmtId="185" formatCode="_(* #,##0.000_);_(* \(#,##0.000\);_(* &quot;-&quot;??_);_(@_)"/>
    <numFmt numFmtId="186" formatCode="_(* #,##0.0000_);_(* \(#,##0.0000\);_(* &quot;-&quot;??_);_(@_)"/>
    <numFmt numFmtId="187" formatCode="_(* #,##0.0000_);_(* \(#,##0.0000\);_(* &quot;-&quot;????_);_(@_)"/>
    <numFmt numFmtId="188" formatCode="0.00;[Red]0.00"/>
    <numFmt numFmtId="189" formatCode="0.0;[Red]0.0"/>
    <numFmt numFmtId="190" formatCode="0;[Red]0"/>
    <numFmt numFmtId="191" formatCode="_(* #,##0.000_);_(* \(#,##0.000\);_(* &quot;-&quot;???_);_(@_)"/>
    <numFmt numFmtId="192" formatCode="_(* #,##0.00000_);_(* \(#,##0.00000\);_(* &quot;-&quot;??_);_(@_)"/>
    <numFmt numFmtId="193" formatCode="_(* #,##0.0_);_(* \(#,##0.0\);_(* &quot;-&quot;?_);_(@_)"/>
    <numFmt numFmtId="194" formatCode="_(* #,##0.000000_);_(* \(#,##0.000000\);_(* &quot;-&quot;??_);_(@_)"/>
    <numFmt numFmtId="195" formatCode="mm/dd/yyyy"/>
    <numFmt numFmtId="196" formatCode="0.000%"/>
    <numFmt numFmtId="197" formatCode="0.0000%"/>
    <numFmt numFmtId="198" formatCode="#,##0.0_);[Red]\(#,##0.0\)"/>
    <numFmt numFmtId="199" formatCode="#,##0.000_);[Red]\(#,##0.000\)"/>
    <numFmt numFmtId="200" formatCode="#,##0.0000_);[Red]\(#,##0.0000\)"/>
    <numFmt numFmtId="201" formatCode="#,##0.000000000000_);[Red]\(#,##0.000000000000\)"/>
    <numFmt numFmtId="202" formatCode="#,##0.000000000000000000_);[Red]\(#,##0.000000000000000000\)"/>
    <numFmt numFmtId="203" formatCode="_(* #,##0.0000000_);_(* \(#,##0.0000000\);_(* &quot;-&quot;??_);_(@_)"/>
    <numFmt numFmtId="204" formatCode="mmmm\-yy"/>
  </numFmts>
  <fonts count="14">
    <font>
      <sz val="12"/>
      <name val="TimesNewRomanPS"/>
      <family val="0"/>
    </font>
    <font>
      <sz val="10"/>
      <name val="Arial"/>
      <family val="0"/>
    </font>
    <font>
      <u val="single"/>
      <sz val="12"/>
      <color indexed="36"/>
      <name val="TimesNewRomanPS"/>
      <family val="0"/>
    </font>
    <font>
      <u val="single"/>
      <sz val="12"/>
      <color indexed="12"/>
      <name val="TimesNewRomanPS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NewRomanPS"/>
      <family val="0"/>
    </font>
    <font>
      <b/>
      <sz val="10"/>
      <name val="TimesNewRomanPS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4">
    <xf numFmtId="37" fontId="0" fillId="0" borderId="0" xfId="0" applyAlignment="1">
      <alignment/>
    </xf>
    <xf numFmtId="37" fontId="4" fillId="0" borderId="0" xfId="0" applyFont="1" applyAlignment="1">
      <alignment/>
    </xf>
    <xf numFmtId="37" fontId="5" fillId="0" borderId="0" xfId="0" applyFont="1" applyFill="1" applyAlignment="1">
      <alignment/>
    </xf>
    <xf numFmtId="37" fontId="6" fillId="0" borderId="0" xfId="0" applyFont="1" applyFill="1" applyAlignment="1">
      <alignment/>
    </xf>
    <xf numFmtId="37" fontId="6" fillId="0" borderId="0" xfId="0" applyFont="1" applyFill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37" fontId="5" fillId="0" borderId="0" xfId="0" applyFont="1" applyFill="1" applyAlignment="1">
      <alignment horizontal="center"/>
    </xf>
    <xf numFmtId="180" fontId="5" fillId="0" borderId="0" xfId="15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15" applyNumberFormat="1" applyFont="1" applyFill="1" applyBorder="1" applyAlignment="1">
      <alignment/>
    </xf>
    <xf numFmtId="37" fontId="7" fillId="0" borderId="0" xfId="0" applyFont="1" applyFill="1" applyAlignment="1">
      <alignment/>
    </xf>
    <xf numFmtId="180" fontId="5" fillId="0" borderId="1" xfId="15" applyNumberFormat="1" applyFont="1" applyFill="1" applyBorder="1" applyAlignment="1">
      <alignment/>
    </xf>
    <xf numFmtId="180" fontId="5" fillId="0" borderId="2" xfId="15" applyNumberFormat="1" applyFont="1" applyFill="1" applyBorder="1" applyAlignment="1">
      <alignment/>
    </xf>
    <xf numFmtId="180" fontId="5" fillId="0" borderId="3" xfId="15" applyNumberFormat="1" applyFont="1" applyFill="1" applyBorder="1" applyAlignment="1">
      <alignment/>
    </xf>
    <xf numFmtId="180" fontId="5" fillId="0" borderId="4" xfId="15" applyNumberFormat="1" applyFont="1" applyFill="1" applyBorder="1" applyAlignment="1">
      <alignment/>
    </xf>
    <xf numFmtId="180" fontId="5" fillId="0" borderId="5" xfId="15" applyNumberFormat="1" applyFont="1" applyFill="1" applyBorder="1" applyAlignment="1">
      <alignment/>
    </xf>
    <xf numFmtId="43" fontId="5" fillId="0" borderId="0" xfId="15" applyFont="1" applyFill="1" applyAlignment="1">
      <alignment/>
    </xf>
    <xf numFmtId="186" fontId="5" fillId="0" borderId="6" xfId="15" applyNumberFormat="1" applyFont="1" applyFill="1" applyBorder="1" applyAlignment="1">
      <alignment/>
    </xf>
    <xf numFmtId="186" fontId="5" fillId="0" borderId="0" xfId="15" applyNumberFormat="1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5" fillId="0" borderId="0" xfId="0" applyFont="1" applyAlignment="1">
      <alignment/>
    </xf>
    <xf numFmtId="37" fontId="4" fillId="0" borderId="0" xfId="0" applyFont="1" applyFill="1" applyAlignment="1">
      <alignment/>
    </xf>
    <xf numFmtId="180" fontId="6" fillId="0" borderId="7" xfId="15" applyNumberFormat="1" applyFont="1" applyFill="1" applyBorder="1" applyAlignment="1" quotePrefix="1">
      <alignment horizontal="center"/>
    </xf>
    <xf numFmtId="180" fontId="6" fillId="0" borderId="3" xfId="15" applyNumberFormat="1" applyFont="1" applyFill="1" applyBorder="1" applyAlignment="1" quotePrefix="1">
      <alignment horizontal="center"/>
    </xf>
    <xf numFmtId="180" fontId="6" fillId="0" borderId="8" xfId="15" applyNumberFormat="1" applyFont="1" applyFill="1" applyBorder="1" applyAlignment="1">
      <alignment horizontal="center"/>
    </xf>
    <xf numFmtId="180" fontId="6" fillId="0" borderId="4" xfId="15" applyNumberFormat="1" applyFont="1" applyFill="1" applyBorder="1" applyAlignment="1">
      <alignment horizontal="center"/>
    </xf>
    <xf numFmtId="180" fontId="6" fillId="0" borderId="4" xfId="15" applyNumberFormat="1" applyFont="1" applyFill="1" applyBorder="1" applyAlignment="1" quotePrefix="1">
      <alignment horizontal="center"/>
    </xf>
    <xf numFmtId="180" fontId="6" fillId="0" borderId="9" xfId="15" applyNumberFormat="1" applyFont="1" applyFill="1" applyBorder="1" applyAlignment="1">
      <alignment horizontal="center"/>
    </xf>
    <xf numFmtId="180" fontId="6" fillId="0" borderId="10" xfId="15" applyNumberFormat="1" applyFont="1" applyFill="1" applyBorder="1" applyAlignment="1">
      <alignment horizontal="center"/>
    </xf>
    <xf numFmtId="180" fontId="6" fillId="0" borderId="3" xfId="15" applyNumberFormat="1" applyFont="1" applyFill="1" applyBorder="1" applyAlignment="1">
      <alignment horizontal="center"/>
    </xf>
    <xf numFmtId="37" fontId="5" fillId="0" borderId="11" xfId="0" applyFont="1" applyFill="1" applyBorder="1" applyAlignment="1">
      <alignment/>
    </xf>
    <xf numFmtId="180" fontId="5" fillId="0" borderId="11" xfId="15" applyNumberFormat="1" applyFont="1" applyFill="1" applyBorder="1" applyAlignment="1">
      <alignment/>
    </xf>
    <xf numFmtId="180" fontId="5" fillId="0" borderId="10" xfId="15" applyNumberFormat="1" applyFont="1" applyFill="1" applyBorder="1" applyAlignment="1">
      <alignment/>
    </xf>
    <xf numFmtId="180" fontId="5" fillId="0" borderId="12" xfId="15" applyNumberFormat="1" applyFont="1" applyFill="1" applyBorder="1" applyAlignment="1">
      <alignment/>
    </xf>
    <xf numFmtId="43" fontId="5" fillId="0" borderId="0" xfId="0" applyNumberFormat="1" applyFont="1" applyFill="1" applyAlignment="1">
      <alignment/>
    </xf>
    <xf numFmtId="180" fontId="5" fillId="0" borderId="4" xfId="15" applyNumberFormat="1" applyFont="1" applyFill="1" applyAlignment="1">
      <alignment/>
    </xf>
    <xf numFmtId="180" fontId="5" fillId="0" borderId="10" xfId="15" applyNumberFormat="1" applyFont="1" applyFill="1" applyAlignment="1">
      <alignment/>
    </xf>
    <xf numFmtId="180" fontId="5" fillId="0" borderId="3" xfId="0" applyNumberFormat="1" applyFont="1" applyFill="1" applyBorder="1" applyAlignment="1">
      <alignment/>
    </xf>
    <xf numFmtId="37" fontId="5" fillId="0" borderId="4" xfId="0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5" fillId="0" borderId="5" xfId="0" applyNumberFormat="1" applyFont="1" applyFill="1" applyBorder="1" applyAlignment="1">
      <alignment/>
    </xf>
    <xf numFmtId="37" fontId="5" fillId="0" borderId="3" xfId="0" applyFont="1" applyFill="1" applyBorder="1" applyAlignment="1">
      <alignment/>
    </xf>
    <xf numFmtId="43" fontId="5" fillId="0" borderId="10" xfId="15" applyFont="1" applyFill="1" applyBorder="1" applyAlignment="1">
      <alignment/>
    </xf>
    <xf numFmtId="180" fontId="5" fillId="0" borderId="5" xfId="15" applyNumberFormat="1" applyFont="1" applyFill="1" applyAlignment="1">
      <alignment/>
    </xf>
    <xf numFmtId="38" fontId="8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8" fontId="9" fillId="0" borderId="0" xfId="0" applyNumberFormat="1" applyFont="1" applyBorder="1" applyAlignment="1">
      <alignment/>
    </xf>
    <xf numFmtId="38" fontId="8" fillId="0" borderId="0" xfId="0" applyNumberFormat="1" applyFont="1" applyAlignment="1">
      <alignment horizontal="left"/>
    </xf>
    <xf numFmtId="38" fontId="9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8" fontId="9" fillId="0" borderId="0" xfId="0" applyNumberFormat="1" applyFont="1" applyBorder="1" applyAlignment="1">
      <alignment horizontal="center"/>
    </xf>
    <xf numFmtId="38" fontId="8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9" fillId="0" borderId="0" xfId="0" applyNumberFormat="1" applyFont="1" applyBorder="1" applyAlignment="1">
      <alignment/>
    </xf>
    <xf numFmtId="43" fontId="9" fillId="0" borderId="0" xfId="15" applyFont="1" applyBorder="1" applyAlignment="1">
      <alignment/>
    </xf>
    <xf numFmtId="37" fontId="9" fillId="0" borderId="1" xfId="0" applyNumberFormat="1" applyFont="1" applyBorder="1" applyAlignment="1">
      <alignment/>
    </xf>
    <xf numFmtId="37" fontId="9" fillId="0" borderId="2" xfId="0" applyNumberFormat="1" applyFont="1" applyBorder="1" applyAlignment="1">
      <alignment/>
    </xf>
    <xf numFmtId="180" fontId="9" fillId="0" borderId="0" xfId="15" applyNumberFormat="1" applyFont="1" applyAlignment="1">
      <alignment/>
    </xf>
    <xf numFmtId="180" fontId="9" fillId="0" borderId="1" xfId="15" applyNumberFormat="1" applyFont="1" applyBorder="1" applyAlignment="1">
      <alignment/>
    </xf>
    <xf numFmtId="180" fontId="9" fillId="0" borderId="13" xfId="15" applyNumberFormat="1" applyFont="1" applyBorder="1" applyAlignment="1">
      <alignment/>
    </xf>
    <xf numFmtId="38" fontId="8" fillId="0" borderId="0" xfId="0" applyNumberFormat="1" applyFont="1" applyBorder="1" applyAlignment="1">
      <alignment/>
    </xf>
    <xf numFmtId="180" fontId="9" fillId="0" borderId="0" xfId="15" applyNumberFormat="1" applyFont="1" applyBorder="1" applyAlignment="1">
      <alignment/>
    </xf>
    <xf numFmtId="180" fontId="9" fillId="0" borderId="14" xfId="15" applyNumberFormat="1" applyFont="1" applyBorder="1" applyAlignment="1">
      <alignment/>
    </xf>
    <xf numFmtId="180" fontId="6" fillId="0" borderId="0" xfId="15" applyNumberFormat="1" applyFont="1" applyAlignment="1">
      <alignment/>
    </xf>
    <xf numFmtId="37" fontId="6" fillId="0" borderId="0" xfId="0" applyFont="1" applyAlignment="1">
      <alignment/>
    </xf>
    <xf numFmtId="180" fontId="5" fillId="0" borderId="0" xfId="15" applyNumberFormat="1" applyFont="1" applyAlignment="1">
      <alignment horizontal="center"/>
    </xf>
    <xf numFmtId="180" fontId="5" fillId="0" borderId="0" xfId="15" applyNumberFormat="1" applyFont="1" applyAlignment="1">
      <alignment/>
    </xf>
    <xf numFmtId="180" fontId="5" fillId="0" borderId="1" xfId="15" applyNumberFormat="1" applyFont="1" applyBorder="1" applyAlignment="1">
      <alignment/>
    </xf>
    <xf numFmtId="180" fontId="5" fillId="0" borderId="0" xfId="15" applyNumberFormat="1" applyFont="1" applyBorder="1" applyAlignment="1">
      <alignment horizontal="center"/>
    </xf>
    <xf numFmtId="180" fontId="5" fillId="0" borderId="0" xfId="15" applyNumberFormat="1" applyFont="1" applyBorder="1" applyAlignment="1">
      <alignment/>
    </xf>
    <xf numFmtId="37" fontId="10" fillId="0" borderId="0" xfId="0" applyFont="1" applyAlignment="1">
      <alignment/>
    </xf>
    <xf numFmtId="37" fontId="11" fillId="0" borderId="0" xfId="0" applyFont="1" applyAlignment="1">
      <alignment horizontal="center"/>
    </xf>
    <xf numFmtId="37" fontId="4" fillId="0" borderId="0" xfId="0" applyFont="1" applyAlignment="1" quotePrefix="1">
      <alignment/>
    </xf>
    <xf numFmtId="180" fontId="5" fillId="0" borderId="1" xfId="15" applyNumberFormat="1" applyFont="1" applyBorder="1" applyAlignment="1">
      <alignment horizontal="center"/>
    </xf>
    <xf numFmtId="37" fontId="10" fillId="0" borderId="1" xfId="0" applyFont="1" applyBorder="1" applyAlignment="1">
      <alignment/>
    </xf>
    <xf numFmtId="15" fontId="4" fillId="0" borderId="0" xfId="0" applyNumberFormat="1" applyFont="1" applyAlignment="1" quotePrefix="1">
      <alignment/>
    </xf>
    <xf numFmtId="1" fontId="5" fillId="0" borderId="0" xfId="0" applyNumberFormat="1" applyFont="1" applyAlignment="1">
      <alignment/>
    </xf>
    <xf numFmtId="180" fontId="10" fillId="0" borderId="0" xfId="15" applyNumberFormat="1" applyFont="1" applyAlignment="1">
      <alignment/>
    </xf>
    <xf numFmtId="37" fontId="5" fillId="0" borderId="0" xfId="0" applyFont="1" applyAlignment="1">
      <alignment vertical="top" wrapText="1"/>
    </xf>
    <xf numFmtId="180" fontId="10" fillId="0" borderId="1" xfId="15" applyNumberFormat="1" applyFont="1" applyBorder="1" applyAlignment="1">
      <alignment/>
    </xf>
    <xf numFmtId="180" fontId="6" fillId="0" borderId="1" xfId="15" applyNumberFormat="1" applyFont="1" applyBorder="1" applyAlignment="1">
      <alignment/>
    </xf>
    <xf numFmtId="37" fontId="5" fillId="0" borderId="0" xfId="0" applyFont="1" applyBorder="1" applyAlignment="1">
      <alignment/>
    </xf>
    <xf numFmtId="37" fontId="5" fillId="0" borderId="0" xfId="0" applyFont="1" applyAlignment="1" quotePrefix="1">
      <alignment/>
    </xf>
    <xf numFmtId="180" fontId="5" fillId="0" borderId="15" xfId="15" applyNumberFormat="1" applyFont="1" applyFill="1" applyBorder="1" applyAlignment="1">
      <alignment/>
    </xf>
    <xf numFmtId="37" fontId="12" fillId="0" borderId="0" xfId="0" applyFont="1" applyFill="1" applyAlignment="1">
      <alignment horizontal="right"/>
    </xf>
    <xf numFmtId="180" fontId="12" fillId="0" borderId="0" xfId="15" applyNumberFormat="1" applyFont="1" applyFill="1" applyAlignment="1">
      <alignment horizontal="right"/>
    </xf>
    <xf numFmtId="180" fontId="12" fillId="0" borderId="0" xfId="15" applyNumberFormat="1" applyFont="1" applyAlignment="1">
      <alignment/>
    </xf>
    <xf numFmtId="37" fontId="13" fillId="0" borderId="0" xfId="0" applyFont="1" applyFill="1" applyAlignment="1">
      <alignment horizontal="right"/>
    </xf>
    <xf numFmtId="37" fontId="12" fillId="0" borderId="0" xfId="0" applyNumberFormat="1" applyFont="1" applyAlignment="1">
      <alignment/>
    </xf>
    <xf numFmtId="180" fontId="6" fillId="0" borderId="0" xfId="15" applyNumberFormat="1" applyFont="1" applyAlignment="1">
      <alignment horizontal="center"/>
    </xf>
    <xf numFmtId="37" fontId="5" fillId="0" borderId="0" xfId="0" applyFont="1" applyAlignment="1">
      <alignment vertical="top" wrapText="1"/>
    </xf>
    <xf numFmtId="37" fontId="5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4</xdr:row>
      <xdr:rowOff>76200</xdr:rowOff>
    </xdr:from>
    <xdr:to>
      <xdr:col>3</xdr:col>
      <xdr:colOff>866775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 flipH="1" flipV="1">
          <a:off x="3895725" y="7239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NewRomanPS"/>
              <a:ea typeface="TimesNewRomanPS"/>
              <a:cs typeface="TimesNewRomanPS"/>
            </a:rPr>
            <a:t/>
          </a:r>
        </a:p>
      </xdr:txBody>
    </xdr:sp>
    <xdr:clientData/>
  </xdr:twoCellAnchor>
  <xdr:twoCellAnchor>
    <xdr:from>
      <xdr:col>6</xdr:col>
      <xdr:colOff>609600</xdr:colOff>
      <xdr:row>4</xdr:row>
      <xdr:rowOff>85725</xdr:rowOff>
    </xdr:from>
    <xdr:to>
      <xdr:col>7</xdr:col>
      <xdr:colOff>1009650</xdr:colOff>
      <xdr:row>4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7381875" y="7334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NewRomanPS"/>
              <a:ea typeface="TimesNewRomanPS"/>
              <a:cs typeface="TimesNewRomanP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4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2004\Q32004\Book4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rther adj 2"/>
      <sheetName val="BS"/>
      <sheetName val="equity"/>
      <sheetName val="CF working"/>
      <sheetName val="Tam EBITDA"/>
      <sheetName val="GP by proj"/>
      <sheetName val="seg"/>
      <sheetName val="Cons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rther adj 2"/>
      <sheetName val="BS"/>
      <sheetName val="IS"/>
      <sheetName val="CF Condensed"/>
      <sheetName val="CF working"/>
      <sheetName val="Tam EBITDA"/>
      <sheetName val="GP by proj"/>
      <sheetName val="seg"/>
      <sheetName val="Cons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workbookViewId="0" topLeftCell="A47">
      <selection activeCell="F51" sqref="F51"/>
    </sheetView>
  </sheetViews>
  <sheetFormatPr defaultColWidth="8.796875" defaultRowHeight="15"/>
  <cols>
    <col min="1" max="1" width="1.4921875" style="2" customWidth="1"/>
    <col min="2" max="2" width="5.09765625" style="2" customWidth="1"/>
    <col min="3" max="3" width="9.69921875" style="2" customWidth="1"/>
    <col min="4" max="4" width="9.19921875" style="2" customWidth="1"/>
    <col min="5" max="5" width="21.19921875" style="2" customWidth="1"/>
    <col min="6" max="6" width="12.59765625" style="2" customWidth="1"/>
    <col min="7" max="7" width="2.3984375" style="2" customWidth="1"/>
    <col min="8" max="8" width="12.59765625" style="2" customWidth="1"/>
    <col min="9" max="9" width="2.09765625" style="2" customWidth="1"/>
    <col min="10" max="16384" width="9" style="2" customWidth="1"/>
  </cols>
  <sheetData>
    <row r="1" spans="1:8" ht="12.75">
      <c r="A1" s="1" t="s">
        <v>0</v>
      </c>
      <c r="H1" s="3"/>
    </row>
    <row r="2" ht="12.75">
      <c r="H2" s="86" t="s">
        <v>141</v>
      </c>
    </row>
    <row r="3" spans="2:9" ht="12.75">
      <c r="B3" s="1" t="s">
        <v>1</v>
      </c>
      <c r="C3" s="3"/>
      <c r="D3" s="3"/>
      <c r="E3" s="3"/>
      <c r="F3" s="3"/>
      <c r="G3" s="3"/>
      <c r="H3" s="89"/>
      <c r="I3" s="3"/>
    </row>
    <row r="4" spans="2:9" ht="12.75">
      <c r="B4" s="1" t="s">
        <v>122</v>
      </c>
      <c r="C4" s="3"/>
      <c r="D4" s="3"/>
      <c r="E4" s="3"/>
      <c r="F4" s="4" t="s">
        <v>2</v>
      </c>
      <c r="H4" s="4" t="s">
        <v>3</v>
      </c>
      <c r="I4" s="3"/>
    </row>
    <row r="5" spans="1:9" ht="12.75">
      <c r="A5" s="3"/>
      <c r="B5" s="3"/>
      <c r="C5" s="3"/>
      <c r="D5" s="3"/>
      <c r="E5" s="3"/>
      <c r="F5" s="4" t="s">
        <v>4</v>
      </c>
      <c r="G5" s="4"/>
      <c r="H5" s="4" t="s">
        <v>5</v>
      </c>
      <c r="I5" s="3"/>
    </row>
    <row r="6" spans="1:9" ht="12.75">
      <c r="A6" s="3"/>
      <c r="B6" s="3"/>
      <c r="C6" s="3"/>
      <c r="D6" s="3"/>
      <c r="E6" s="3"/>
      <c r="F6" s="4" t="s">
        <v>6</v>
      </c>
      <c r="G6" s="4"/>
      <c r="H6" s="4" t="s">
        <v>7</v>
      </c>
      <c r="I6" s="3"/>
    </row>
    <row r="7" spans="1:9" ht="12.75">
      <c r="A7" s="3"/>
      <c r="B7" s="3"/>
      <c r="C7" s="3"/>
      <c r="D7" s="3"/>
      <c r="E7" s="3"/>
      <c r="G7" s="4"/>
      <c r="H7" s="4" t="s">
        <v>8</v>
      </c>
      <c r="I7" s="3"/>
    </row>
    <row r="8" spans="1:9" ht="12.75">
      <c r="A8" s="4"/>
      <c r="B8" s="3"/>
      <c r="C8" s="3"/>
      <c r="D8" s="3"/>
      <c r="E8" s="3"/>
      <c r="G8" s="4"/>
      <c r="H8" s="4" t="s">
        <v>9</v>
      </c>
      <c r="I8" s="3"/>
    </row>
    <row r="9" spans="1:9" ht="12.75">
      <c r="A9" s="4"/>
      <c r="B9" s="3"/>
      <c r="C9" s="3"/>
      <c r="D9" s="3"/>
      <c r="E9" s="3"/>
      <c r="F9" s="5" t="s">
        <v>123</v>
      </c>
      <c r="G9" s="6"/>
      <c r="H9" s="5" t="s">
        <v>10</v>
      </c>
      <c r="I9" s="3"/>
    </row>
    <row r="10" spans="1:9" ht="12.75">
      <c r="A10" s="4"/>
      <c r="B10" s="3"/>
      <c r="C10" s="3"/>
      <c r="D10" s="3"/>
      <c r="E10" s="3"/>
      <c r="F10" s="4" t="s">
        <v>11</v>
      </c>
      <c r="G10" s="4"/>
      <c r="H10" s="4" t="s">
        <v>11</v>
      </c>
      <c r="I10" s="3"/>
    </row>
    <row r="11" spans="1:2" ht="12.75">
      <c r="A11" s="7"/>
      <c r="B11" s="3"/>
    </row>
    <row r="12" ht="12.75">
      <c r="A12" s="7"/>
    </row>
    <row r="13" spans="1:9" ht="12.75">
      <c r="A13" s="7"/>
      <c r="B13" s="2" t="s">
        <v>12</v>
      </c>
      <c r="F13" s="8">
        <f>252852</f>
        <v>252852</v>
      </c>
      <c r="G13" s="8"/>
      <c r="H13" s="8">
        <v>275225</v>
      </c>
      <c r="I13" s="9"/>
    </row>
    <row r="14" spans="1:8" ht="12.75">
      <c r="A14" s="7"/>
      <c r="B14" s="2" t="s">
        <v>13</v>
      </c>
      <c r="F14" s="8">
        <f>621596</f>
        <v>621596</v>
      </c>
      <c r="G14" s="8"/>
      <c r="H14" s="8">
        <v>758540</v>
      </c>
    </row>
    <row r="15" spans="1:8" ht="12.75">
      <c r="A15" s="7"/>
      <c r="B15" s="2" t="s">
        <v>14</v>
      </c>
      <c r="F15" s="8">
        <f>162454</f>
        <v>162454</v>
      </c>
      <c r="G15" s="8"/>
      <c r="H15" s="8">
        <v>168303</v>
      </c>
    </row>
    <row r="16" spans="1:8" ht="12.75">
      <c r="A16" s="7"/>
      <c r="B16" s="2" t="s">
        <v>15</v>
      </c>
      <c r="F16" s="8">
        <f>2905</f>
        <v>2905</v>
      </c>
      <c r="G16" s="8"/>
      <c r="H16" s="8">
        <v>3178</v>
      </c>
    </row>
    <row r="17" spans="1:8" ht="12.75">
      <c r="A17" s="7"/>
      <c r="B17" s="2" t="s">
        <v>16</v>
      </c>
      <c r="F17" s="8">
        <v>0</v>
      </c>
      <c r="G17" s="10"/>
      <c r="H17" s="10">
        <v>70569</v>
      </c>
    </row>
    <row r="18" spans="1:8" ht="12.75">
      <c r="A18" s="7"/>
      <c r="B18" s="11" t="s">
        <v>17</v>
      </c>
      <c r="F18" s="8">
        <f>76332</f>
        <v>76332</v>
      </c>
      <c r="G18" s="10"/>
      <c r="H18" s="10">
        <v>76332</v>
      </c>
    </row>
    <row r="19" spans="1:8" ht="12.75">
      <c r="A19" s="7"/>
      <c r="B19" s="2" t="s">
        <v>18</v>
      </c>
      <c r="F19" s="8">
        <v>0</v>
      </c>
      <c r="G19" s="10"/>
      <c r="H19" s="12">
        <v>4647</v>
      </c>
    </row>
    <row r="20" spans="1:8" ht="12.75">
      <c r="A20" s="7"/>
      <c r="F20" s="13">
        <f>SUM(F13:F19)</f>
        <v>1116139</v>
      </c>
      <c r="G20" s="8"/>
      <c r="H20" s="13">
        <f>SUM(H13:H19)</f>
        <v>1356794</v>
      </c>
    </row>
    <row r="21" spans="1:8" ht="12.75">
      <c r="A21" s="7"/>
      <c r="F21" s="8"/>
      <c r="G21" s="8"/>
      <c r="H21" s="8"/>
    </row>
    <row r="22" spans="1:8" ht="12.75">
      <c r="A22" s="7"/>
      <c r="B22" s="2" t="s">
        <v>19</v>
      </c>
      <c r="F22" s="8"/>
      <c r="G22" s="8"/>
      <c r="H22" s="8"/>
    </row>
    <row r="23" spans="1:10" ht="12.75">
      <c r="A23" s="7"/>
      <c r="B23" s="3"/>
      <c r="C23" s="2" t="s">
        <v>20</v>
      </c>
      <c r="E23" s="2" t="s">
        <v>21</v>
      </c>
      <c r="F23" s="14">
        <f>-5+2165597</f>
        <v>2165592</v>
      </c>
      <c r="G23" s="8"/>
      <c r="H23" s="14">
        <v>1991534</v>
      </c>
      <c r="J23" s="2" t="s">
        <v>21</v>
      </c>
    </row>
    <row r="24" spans="1:8" ht="12.75">
      <c r="A24" s="7"/>
      <c r="B24" s="3"/>
      <c r="C24" s="2" t="s">
        <v>22</v>
      </c>
      <c r="F24" s="15">
        <f>80163</f>
        <v>80163</v>
      </c>
      <c r="G24" s="8"/>
      <c r="H24" s="15">
        <v>131748</v>
      </c>
    </row>
    <row r="25" spans="1:10" ht="12.75">
      <c r="A25" s="7"/>
      <c r="B25" s="3"/>
      <c r="C25" s="2" t="s">
        <v>23</v>
      </c>
      <c r="F25" s="15">
        <f>169181</f>
        <v>169181</v>
      </c>
      <c r="G25" s="8"/>
      <c r="H25" s="15">
        <v>551540</v>
      </c>
      <c r="J25" s="9"/>
    </row>
    <row r="26" spans="1:8" ht="12.75">
      <c r="A26" s="7"/>
      <c r="C26" s="2" t="s">
        <v>24</v>
      </c>
      <c r="F26" s="15">
        <f>224448</f>
        <v>224448</v>
      </c>
      <c r="G26" s="8"/>
      <c r="H26" s="15">
        <v>310456</v>
      </c>
    </row>
    <row r="27" spans="1:10" ht="12.75">
      <c r="A27" s="7"/>
      <c r="C27" s="2" t="s">
        <v>25</v>
      </c>
      <c r="E27" s="9"/>
      <c r="F27" s="16">
        <f>SUM(F23:F26)</f>
        <v>2639384</v>
      </c>
      <c r="G27" s="10"/>
      <c r="H27" s="16">
        <f>SUM(H23:H26)</f>
        <v>2985278</v>
      </c>
      <c r="I27" s="9"/>
      <c r="J27" s="9"/>
    </row>
    <row r="28" spans="1:8" ht="12.75">
      <c r="A28" s="7"/>
      <c r="F28" s="14"/>
      <c r="G28" s="8"/>
      <c r="H28" s="14"/>
    </row>
    <row r="29" spans="1:8" ht="12.75">
      <c r="A29" s="7"/>
      <c r="B29" s="2" t="s">
        <v>26</v>
      </c>
      <c r="F29" s="15"/>
      <c r="G29" s="8"/>
      <c r="H29" s="15"/>
    </row>
    <row r="30" spans="1:8" ht="12.75">
      <c r="A30" s="7"/>
      <c r="C30" s="2" t="s">
        <v>27</v>
      </c>
      <c r="F30" s="15">
        <f>466224</f>
        <v>466224</v>
      </c>
      <c r="G30" s="8"/>
      <c r="H30" s="15">
        <v>411181</v>
      </c>
    </row>
    <row r="31" spans="1:8" ht="12.75">
      <c r="A31" s="7"/>
      <c r="C31" s="2" t="s">
        <v>28</v>
      </c>
      <c r="F31" s="15">
        <f>236723</f>
        <v>236723</v>
      </c>
      <c r="G31" s="8"/>
      <c r="H31" s="15">
        <v>631007</v>
      </c>
    </row>
    <row r="32" spans="1:8" ht="12.75">
      <c r="A32" s="7"/>
      <c r="C32" s="2" t="s">
        <v>29</v>
      </c>
      <c r="F32" s="15">
        <f>170375</f>
        <v>170375</v>
      </c>
      <c r="G32" s="8"/>
      <c r="H32" s="15">
        <v>415801</v>
      </c>
    </row>
    <row r="33" spans="1:8" ht="12.75">
      <c r="A33" s="7"/>
      <c r="C33" s="2" t="s">
        <v>30</v>
      </c>
      <c r="F33" s="15">
        <f>349231</f>
        <v>349231</v>
      </c>
      <c r="G33" s="8"/>
      <c r="H33" s="15">
        <f>322260</f>
        <v>322260</v>
      </c>
    </row>
    <row r="34" spans="1:8" ht="12.75">
      <c r="A34" s="7"/>
      <c r="C34" s="2" t="s">
        <v>124</v>
      </c>
      <c r="F34" s="15">
        <f>12167</f>
        <v>12167</v>
      </c>
      <c r="G34" s="8"/>
      <c r="H34" s="15">
        <v>0</v>
      </c>
    </row>
    <row r="35" spans="1:8" ht="12.75">
      <c r="A35" s="7"/>
      <c r="C35" s="2" t="s">
        <v>31</v>
      </c>
      <c r="F35" s="15">
        <f>377703</f>
        <v>377703</v>
      </c>
      <c r="G35" s="8"/>
      <c r="H35" s="15">
        <v>404157</v>
      </c>
    </row>
    <row r="36" spans="1:8" ht="12.75">
      <c r="A36" s="7"/>
      <c r="C36" s="2" t="s">
        <v>32</v>
      </c>
      <c r="F36" s="15">
        <f>211648</f>
        <v>211648</v>
      </c>
      <c r="G36" s="8"/>
      <c r="H36" s="15">
        <v>179302</v>
      </c>
    </row>
    <row r="37" spans="1:8" ht="12.75">
      <c r="A37" s="7"/>
      <c r="C37" s="2" t="s">
        <v>33</v>
      </c>
      <c r="F37" s="16">
        <f>SUM(F30:F36)</f>
        <v>1824071</v>
      </c>
      <c r="G37" s="10"/>
      <c r="H37" s="16">
        <f>SUM(H30:H36)</f>
        <v>2363708</v>
      </c>
    </row>
    <row r="38" spans="1:8" ht="12.75">
      <c r="A38" s="7"/>
      <c r="F38" s="10"/>
      <c r="G38" s="10"/>
      <c r="H38" s="10"/>
    </row>
    <row r="39" spans="1:8" ht="12.75">
      <c r="A39" s="7"/>
      <c r="B39" s="2" t="s">
        <v>34</v>
      </c>
      <c r="C39" s="3"/>
      <c r="D39" s="3"/>
      <c r="F39" s="8">
        <f>F27-F37</f>
        <v>815313</v>
      </c>
      <c r="G39" s="10"/>
      <c r="H39" s="8">
        <f>H27-H37</f>
        <v>621570</v>
      </c>
    </row>
    <row r="40" spans="1:8" ht="12.75">
      <c r="A40" s="7"/>
      <c r="B40" s="3"/>
      <c r="C40" s="3"/>
      <c r="D40" s="3"/>
      <c r="F40" s="8"/>
      <c r="G40" s="10"/>
      <c r="H40" s="8"/>
    </row>
    <row r="41" spans="1:8" ht="13.5" thickBot="1">
      <c r="A41" s="7"/>
      <c r="B41" s="2" t="s">
        <v>35</v>
      </c>
      <c r="F41" s="85">
        <f>+F20+F39</f>
        <v>1931452</v>
      </c>
      <c r="G41" s="10"/>
      <c r="H41" s="85">
        <f>+H20+H39</f>
        <v>1978364</v>
      </c>
    </row>
    <row r="42" spans="1:8" ht="12.75">
      <c r="A42" s="7"/>
      <c r="F42" s="8"/>
      <c r="G42" s="8"/>
      <c r="H42" s="8"/>
    </row>
    <row r="43" spans="1:8" ht="12.75">
      <c r="A43" s="7"/>
      <c r="F43" s="8"/>
      <c r="G43" s="8"/>
      <c r="H43" s="8"/>
    </row>
    <row r="44" spans="1:8" ht="12.75">
      <c r="A44" s="7"/>
      <c r="B44" s="2" t="s">
        <v>36</v>
      </c>
      <c r="F44" s="8"/>
      <c r="G44" s="8"/>
      <c r="H44" s="8"/>
    </row>
    <row r="45" spans="1:8" ht="12.75">
      <c r="A45" s="7"/>
      <c r="F45" s="8"/>
      <c r="G45" s="8"/>
      <c r="H45" s="8"/>
    </row>
    <row r="46" spans="1:8" ht="12.75">
      <c r="A46" s="7"/>
      <c r="B46" s="2" t="s">
        <v>37</v>
      </c>
      <c r="F46" s="8">
        <f>598845</f>
        <v>598845</v>
      </c>
      <c r="G46" s="8"/>
      <c r="H46" s="8">
        <v>548747</v>
      </c>
    </row>
    <row r="47" spans="1:8" ht="12.75">
      <c r="A47" s="7"/>
      <c r="B47" s="2" t="s">
        <v>38</v>
      </c>
      <c r="F47" s="12">
        <f>21023</f>
        <v>21023</v>
      </c>
      <c r="G47" s="8"/>
      <c r="H47" s="12">
        <f>59187-20-7624</f>
        <v>51543</v>
      </c>
    </row>
    <row r="48" spans="1:8" ht="12.75">
      <c r="A48" s="7"/>
      <c r="F48" s="8">
        <f>SUM(F46:F47)</f>
        <v>619868</v>
      </c>
      <c r="G48" s="8"/>
      <c r="H48" s="8">
        <f>SUM(H46:H47)</f>
        <v>600290</v>
      </c>
    </row>
    <row r="49" spans="1:8" ht="12.75">
      <c r="A49" s="7"/>
      <c r="B49" s="2" t="s">
        <v>39</v>
      </c>
      <c r="F49" s="12">
        <v>0</v>
      </c>
      <c r="G49" s="8"/>
      <c r="H49" s="12">
        <v>-23</v>
      </c>
    </row>
    <row r="50" spans="1:8" ht="12.75">
      <c r="A50" s="7"/>
      <c r="F50" s="8">
        <f>SUM(F48:F49)</f>
        <v>619868</v>
      </c>
      <c r="G50" s="8"/>
      <c r="H50" s="8">
        <f>SUM(H48:H49)</f>
        <v>600267</v>
      </c>
    </row>
    <row r="51" spans="1:8" ht="12.75">
      <c r="A51" s="7"/>
      <c r="B51" s="2" t="s">
        <v>40</v>
      </c>
      <c r="F51" s="12">
        <f>463540-6</f>
        <v>463534</v>
      </c>
      <c r="G51" s="8"/>
      <c r="H51" s="12">
        <v>405751</v>
      </c>
    </row>
    <row r="52" spans="1:8" ht="12.75">
      <c r="A52" s="7"/>
      <c r="B52" s="2" t="s">
        <v>41</v>
      </c>
      <c r="E52" s="9"/>
      <c r="F52" s="8">
        <f>SUM(F50:F51)</f>
        <v>1083402</v>
      </c>
      <c r="G52" s="8"/>
      <c r="H52" s="8">
        <f>SUM(H50:H51)</f>
        <v>1006018</v>
      </c>
    </row>
    <row r="53" spans="1:8" ht="12.75">
      <c r="A53" s="7"/>
      <c r="E53" s="9"/>
      <c r="F53" s="8"/>
      <c r="G53" s="8"/>
      <c r="H53" s="8"/>
    </row>
    <row r="54" spans="1:8" ht="12.75">
      <c r="A54" s="7"/>
      <c r="B54" s="2" t="s">
        <v>42</v>
      </c>
      <c r="F54" s="10">
        <f>5495</f>
        <v>5495</v>
      </c>
      <c r="G54" s="10"/>
      <c r="H54" s="10">
        <v>11226</v>
      </c>
    </row>
    <row r="55" spans="1:8" ht="12.75">
      <c r="A55" s="7"/>
      <c r="F55" s="10"/>
      <c r="G55" s="10"/>
      <c r="H55" s="10"/>
    </row>
    <row r="56" spans="1:8" ht="12.75">
      <c r="A56" s="7"/>
      <c r="B56" s="2" t="s">
        <v>43</v>
      </c>
      <c r="F56" s="10"/>
      <c r="G56" s="10"/>
      <c r="H56" s="10"/>
    </row>
    <row r="57" spans="1:8" ht="12.75">
      <c r="A57" s="7"/>
      <c r="C57" s="2" t="s">
        <v>125</v>
      </c>
      <c r="F57" s="10">
        <f>46</f>
        <v>46</v>
      </c>
      <c r="G57" s="10"/>
      <c r="H57" s="10">
        <f>3850</f>
        <v>3850</v>
      </c>
    </row>
    <row r="58" spans="1:8" ht="12.75">
      <c r="A58" s="7"/>
      <c r="C58" s="2" t="s">
        <v>44</v>
      </c>
      <c r="F58" s="10">
        <f>259049</f>
        <v>259049</v>
      </c>
      <c r="G58" s="8"/>
      <c r="H58" s="10">
        <f>352114</f>
        <v>352114</v>
      </c>
    </row>
    <row r="59" spans="1:8" ht="12.75">
      <c r="A59" s="7"/>
      <c r="C59" s="2" t="s">
        <v>45</v>
      </c>
      <c r="F59" s="10">
        <f>137599</f>
        <v>137599</v>
      </c>
      <c r="G59" s="8"/>
      <c r="H59" s="10">
        <f>372965</f>
        <v>372965</v>
      </c>
    </row>
    <row r="60" spans="1:8" ht="12.75">
      <c r="A60" s="7"/>
      <c r="C60" s="2" t="s">
        <v>126</v>
      </c>
      <c r="F60" s="10">
        <f>137833</f>
        <v>137833</v>
      </c>
      <c r="G60" s="8"/>
      <c r="H60" s="10">
        <v>0</v>
      </c>
    </row>
    <row r="61" spans="1:8" ht="12.75">
      <c r="A61" s="7"/>
      <c r="C61" s="2" t="s">
        <v>46</v>
      </c>
      <c r="F61" s="10">
        <f>264996</f>
        <v>264996</v>
      </c>
      <c r="G61" s="8"/>
      <c r="H61" s="10">
        <f>199835</f>
        <v>199835</v>
      </c>
    </row>
    <row r="62" spans="1:10" ht="12.75">
      <c r="A62" s="7"/>
      <c r="C62" s="2" t="s">
        <v>47</v>
      </c>
      <c r="F62" s="10">
        <f>43032</f>
        <v>43032</v>
      </c>
      <c r="G62" s="8"/>
      <c r="H62" s="10">
        <v>32356</v>
      </c>
      <c r="J62" s="2" t="s">
        <v>21</v>
      </c>
    </row>
    <row r="63" spans="1:8" ht="12.75">
      <c r="A63" s="7"/>
      <c r="F63" s="10"/>
      <c r="G63" s="8"/>
      <c r="H63" s="8"/>
    </row>
    <row r="64" spans="1:8" ht="13.5" thickBot="1">
      <c r="A64" s="7"/>
      <c r="B64" s="2" t="s">
        <v>48</v>
      </c>
      <c r="F64" s="85">
        <f>SUM(F52:F62)</f>
        <v>1931452</v>
      </c>
      <c r="G64" s="10"/>
      <c r="H64" s="85">
        <f>SUM(H52:H62)</f>
        <v>1978364</v>
      </c>
    </row>
    <row r="65" spans="1:8" ht="12.75">
      <c r="A65" s="7"/>
      <c r="F65" s="8">
        <f>+F41-F64</f>
        <v>0</v>
      </c>
      <c r="G65" s="10"/>
      <c r="H65" s="8">
        <f>+H41-H64</f>
        <v>0</v>
      </c>
    </row>
    <row r="66" spans="6:8" ht="12.75">
      <c r="F66" s="17" t="s">
        <v>21</v>
      </c>
      <c r="H66" s="9" t="s">
        <v>21</v>
      </c>
    </row>
    <row r="67" spans="2:7" ht="12.75">
      <c r="B67" s="2" t="s">
        <v>49</v>
      </c>
      <c r="G67" s="20"/>
    </row>
    <row r="68" spans="2:8" ht="13.5" thickBot="1">
      <c r="B68" s="2" t="s">
        <v>138</v>
      </c>
      <c r="F68" s="18">
        <f>(+F52-F16)/(+F46+F49)</f>
        <v>1.8043016139401682</v>
      </c>
      <c r="G68" s="19"/>
      <c r="H68" s="18">
        <f>(+H52-H16)/(+H46+H49)</f>
        <v>1.8275854527959412</v>
      </c>
    </row>
    <row r="69" ht="13.5" thickTop="1">
      <c r="F69" s="2">
        <f>+F64-F41</f>
        <v>0</v>
      </c>
    </row>
    <row r="70" ht="12.75">
      <c r="G70" s="17"/>
    </row>
    <row r="71" ht="12.75">
      <c r="D71" s="21"/>
    </row>
    <row r="72" ht="12.75">
      <c r="C72" s="21" t="s">
        <v>50</v>
      </c>
    </row>
    <row r="73" ht="12.75">
      <c r="C73" s="21" t="s">
        <v>51</v>
      </c>
    </row>
  </sheetData>
  <printOptions/>
  <pageMargins left="0.75" right="0.31" top="0.5" bottom="0.5" header="0.17" footer="0.26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pane xSplit="3" ySplit="8" topLeftCell="E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9" sqref="G9"/>
    </sheetView>
  </sheetViews>
  <sheetFormatPr defaultColWidth="8.796875" defaultRowHeight="15"/>
  <cols>
    <col min="1" max="1" width="1.4921875" style="2" customWidth="1"/>
    <col min="2" max="2" width="25.59765625" style="2" customWidth="1"/>
    <col min="3" max="3" width="4.8984375" style="2" customWidth="1"/>
    <col min="4" max="6" width="16.3984375" style="8" customWidth="1"/>
    <col min="7" max="7" width="16.8984375" style="8" customWidth="1"/>
    <col min="8" max="8" width="9.5" style="2" customWidth="1"/>
    <col min="9" max="16384" width="9" style="2" customWidth="1"/>
  </cols>
  <sheetData>
    <row r="1" ht="12.75">
      <c r="A1" s="22" t="s">
        <v>0</v>
      </c>
    </row>
    <row r="2" ht="12.75">
      <c r="G2" s="87" t="str">
        <f>+'BS'!H2</f>
        <v>Announced 31-3-05</v>
      </c>
    </row>
    <row r="3" spans="2:7" ht="12.75">
      <c r="B3" s="22" t="s">
        <v>52</v>
      </c>
      <c r="G3" s="87"/>
    </row>
    <row r="4" ht="12.75">
      <c r="B4" s="22" t="s">
        <v>127</v>
      </c>
    </row>
    <row r="6" spans="4:7" ht="12.75">
      <c r="D6" s="23" t="s">
        <v>128</v>
      </c>
      <c r="E6" s="24" t="s">
        <v>53</v>
      </c>
      <c r="F6" s="24" t="str">
        <f>+D6</f>
        <v>2005</v>
      </c>
      <c r="G6" s="24" t="str">
        <f>+E6</f>
        <v>2004</v>
      </c>
    </row>
    <row r="7" spans="4:7" ht="12.75">
      <c r="D7" s="25" t="s">
        <v>54</v>
      </c>
      <c r="E7" s="26" t="s">
        <v>55</v>
      </c>
      <c r="F7" s="27" t="s">
        <v>130</v>
      </c>
      <c r="G7" s="27" t="str">
        <f>+F7</f>
        <v>12 months</v>
      </c>
    </row>
    <row r="8" spans="4:7" ht="12.75">
      <c r="D8" s="28" t="s">
        <v>129</v>
      </c>
      <c r="E8" s="29" t="str">
        <f>+D8</f>
        <v>Ended 31 Jan</v>
      </c>
      <c r="F8" s="29" t="s">
        <v>56</v>
      </c>
      <c r="G8" s="29" t="str">
        <f>+F8</f>
        <v>Cumulative to-date</v>
      </c>
    </row>
    <row r="9" spans="4:7" ht="12.75">
      <c r="D9" s="30" t="s">
        <v>57</v>
      </c>
      <c r="E9" s="30" t="s">
        <v>57</v>
      </c>
      <c r="F9" s="30" t="s">
        <v>57</v>
      </c>
      <c r="G9" s="30" t="s">
        <v>57</v>
      </c>
    </row>
    <row r="10" spans="3:7" ht="12.75">
      <c r="C10" s="31"/>
      <c r="D10" s="32"/>
      <c r="E10" s="15"/>
      <c r="F10" s="15"/>
      <c r="G10" s="15"/>
    </row>
    <row r="11" spans="2:7" ht="12.75">
      <c r="B11" s="2" t="s">
        <v>58</v>
      </c>
      <c r="C11" s="31"/>
      <c r="D11" s="9">
        <f>+F11-905781</f>
        <v>94533</v>
      </c>
      <c r="E11" s="15">
        <f>326712</f>
        <v>326712</v>
      </c>
      <c r="F11" s="15">
        <f>1000314</f>
        <v>1000314</v>
      </c>
      <c r="G11" s="15">
        <f>949192</f>
        <v>949192</v>
      </c>
    </row>
    <row r="12" spans="3:7" ht="12.75">
      <c r="C12" s="31"/>
      <c r="D12" s="2"/>
      <c r="E12" s="15"/>
      <c r="F12" s="15"/>
      <c r="G12" s="15"/>
    </row>
    <row r="13" spans="2:7" ht="12.75">
      <c r="B13" s="2" t="s">
        <v>59</v>
      </c>
      <c r="C13" s="31"/>
      <c r="D13" s="32">
        <f>+F13+792552</f>
        <v>-102993</v>
      </c>
      <c r="E13" s="15">
        <f>-296082</f>
        <v>-296082</v>
      </c>
      <c r="F13" s="15">
        <f>-895545</f>
        <v>-895545</v>
      </c>
      <c r="G13" s="15">
        <f>-886623</f>
        <v>-886623</v>
      </c>
    </row>
    <row r="14" spans="3:7" ht="12.75">
      <c r="C14" s="31"/>
      <c r="D14" s="32"/>
      <c r="E14" s="15"/>
      <c r="F14" s="15"/>
      <c r="G14" s="15"/>
    </row>
    <row r="15" spans="2:7" ht="12.75">
      <c r="B15" s="2" t="s">
        <v>60</v>
      </c>
      <c r="C15" s="31"/>
      <c r="D15" s="32">
        <f>+F15-18062</f>
        <v>29848</v>
      </c>
      <c r="E15" s="33">
        <f>2757</f>
        <v>2757</v>
      </c>
      <c r="F15" s="15">
        <f>48673-763</f>
        <v>47910</v>
      </c>
      <c r="G15" s="33">
        <f>23880</f>
        <v>23880</v>
      </c>
    </row>
    <row r="16" spans="2:7" ht="19.5" customHeight="1">
      <c r="B16" s="2" t="s">
        <v>61</v>
      </c>
      <c r="C16" s="31"/>
      <c r="D16" s="34">
        <f>SUM(D11:D15)</f>
        <v>21388</v>
      </c>
      <c r="E16" s="14">
        <f>SUM(E11:E15)</f>
        <v>33387</v>
      </c>
      <c r="F16" s="14">
        <f>SUM(F11:F15)</f>
        <v>152679</v>
      </c>
      <c r="G16" s="14">
        <f>SUM(G11:G15)</f>
        <v>86449</v>
      </c>
    </row>
    <row r="17" spans="3:7" ht="12.75" customHeight="1">
      <c r="C17" s="35" t="s">
        <v>21</v>
      </c>
      <c r="D17" s="36"/>
      <c r="E17" s="15"/>
      <c r="F17" s="15" t="s">
        <v>21</v>
      </c>
      <c r="G17" s="15"/>
    </row>
    <row r="18" spans="2:7" ht="12.75" customHeight="1">
      <c r="B18" s="2" t="s">
        <v>62</v>
      </c>
      <c r="D18" s="36">
        <f>+F18+15584</f>
        <v>-7358</v>
      </c>
      <c r="E18" s="15">
        <f>-1136</f>
        <v>-1136</v>
      </c>
      <c r="F18" s="15">
        <f>-22942</f>
        <v>-22942</v>
      </c>
      <c r="G18" s="15">
        <f>-15258</f>
        <v>-15258</v>
      </c>
    </row>
    <row r="19" spans="4:7" ht="12.75">
      <c r="D19" s="36" t="s">
        <v>21</v>
      </c>
      <c r="E19" s="15"/>
      <c r="F19" s="15"/>
      <c r="G19" s="15"/>
    </row>
    <row r="20" spans="2:7" ht="12.75">
      <c r="B20" s="2" t="s">
        <v>63</v>
      </c>
      <c r="D20" s="37">
        <f>+F20-721</f>
        <v>-1904</v>
      </c>
      <c r="E20" s="33">
        <f>-648</f>
        <v>-648</v>
      </c>
      <c r="F20" s="33">
        <f>763-1946</f>
        <v>-1183</v>
      </c>
      <c r="G20" s="33">
        <f>4245</f>
        <v>4245</v>
      </c>
    </row>
    <row r="21" spans="2:7" ht="19.5" customHeight="1">
      <c r="B21" s="2" t="s">
        <v>64</v>
      </c>
      <c r="D21" s="38">
        <f>SUM(D16:D20)</f>
        <v>12126</v>
      </c>
      <c r="E21" s="15">
        <f>SUM(E16:E20)</f>
        <v>31603</v>
      </c>
      <c r="F21" s="15">
        <f>SUM(F16:F20)</f>
        <v>128554</v>
      </c>
      <c r="G21" s="15">
        <f>SUM(G16:G20)</f>
        <v>75436</v>
      </c>
    </row>
    <row r="22" spans="4:7" ht="12.75">
      <c r="D22" s="39" t="s">
        <v>21</v>
      </c>
      <c r="E22" s="15"/>
      <c r="F22" s="15"/>
      <c r="G22" s="15"/>
    </row>
    <row r="23" spans="2:7" ht="12.75">
      <c r="B23" s="2" t="s">
        <v>32</v>
      </c>
      <c r="D23" s="40">
        <f>+F23+35671</f>
        <v>-1385</v>
      </c>
      <c r="E23" s="33">
        <f>-8599</f>
        <v>-8599</v>
      </c>
      <c r="F23" s="33">
        <f>-37056</f>
        <v>-37056</v>
      </c>
      <c r="G23" s="33">
        <f>-24163</f>
        <v>-24163</v>
      </c>
    </row>
    <row r="24" spans="2:7" ht="19.5" customHeight="1">
      <c r="B24" s="2" t="s">
        <v>65</v>
      </c>
      <c r="D24" s="38">
        <f>SUM(D21:D23)</f>
        <v>10741</v>
      </c>
      <c r="E24" s="15">
        <f>SUM(E21:E23)</f>
        <v>23004</v>
      </c>
      <c r="F24" s="15">
        <f>SUM(F21:F23)</f>
        <v>91498</v>
      </c>
      <c r="G24" s="15">
        <f>SUM(G21:G23)</f>
        <v>51273</v>
      </c>
    </row>
    <row r="25" spans="4:7" ht="12.75">
      <c r="D25" s="39"/>
      <c r="E25" s="15"/>
      <c r="F25" s="15"/>
      <c r="G25" s="15"/>
    </row>
    <row r="26" spans="2:7" ht="12.75">
      <c r="B26" s="2" t="s">
        <v>66</v>
      </c>
      <c r="D26" s="40">
        <f>+F26-1755</f>
        <v>-243</v>
      </c>
      <c r="E26" s="33">
        <f>93</f>
        <v>93</v>
      </c>
      <c r="F26" s="33">
        <f>1512</f>
        <v>1512</v>
      </c>
      <c r="G26" s="33">
        <f>2958</f>
        <v>2958</v>
      </c>
    </row>
    <row r="27" spans="2:7" ht="19.5" customHeight="1">
      <c r="B27" s="2" t="s">
        <v>67</v>
      </c>
      <c r="D27" s="41">
        <f>SUM(D24:D26)</f>
        <v>10498</v>
      </c>
      <c r="E27" s="16">
        <f>SUM(E24:E26)</f>
        <v>23097</v>
      </c>
      <c r="F27" s="16">
        <f>SUM(F24:F26)</f>
        <v>93010</v>
      </c>
      <c r="G27" s="16">
        <f>SUM(G24:G26)</f>
        <v>54231</v>
      </c>
    </row>
    <row r="28" spans="4:7" ht="12.75">
      <c r="D28" s="42"/>
      <c r="E28" s="15"/>
      <c r="F28" s="15"/>
      <c r="G28" s="15"/>
    </row>
    <row r="29" spans="2:7" ht="12.75">
      <c r="B29" s="2" t="s">
        <v>136</v>
      </c>
      <c r="D29" s="43">
        <f>+D27/D32*100</f>
        <v>1.8064742605810729</v>
      </c>
      <c r="E29" s="43">
        <f>+E27/E32*100</f>
        <v>7.889154931020702</v>
      </c>
      <c r="F29" s="43">
        <f>+F27/F32*100</f>
        <v>16.004969611035015</v>
      </c>
      <c r="G29" s="43">
        <f>+G27/G32*100</f>
        <v>18.523477553976</v>
      </c>
    </row>
    <row r="30" ht="12.75">
      <c r="D30" s="2"/>
    </row>
    <row r="31" spans="2:4" ht="12.75">
      <c r="B31" s="2" t="s">
        <v>68</v>
      </c>
      <c r="D31" s="2"/>
    </row>
    <row r="32" spans="2:7" ht="12.75">
      <c r="B32" s="2" t="s">
        <v>137</v>
      </c>
      <c r="D32" s="44">
        <f>581132</f>
        <v>581132</v>
      </c>
      <c r="E32" s="16">
        <f>292769</f>
        <v>292769</v>
      </c>
      <c r="F32" s="16">
        <f>+D32</f>
        <v>581132</v>
      </c>
      <c r="G32" s="16">
        <f>+E32</f>
        <v>292769</v>
      </c>
    </row>
    <row r="33" ht="12.75">
      <c r="G33" s="17" t="s">
        <v>21</v>
      </c>
    </row>
    <row r="36" ht="12.75">
      <c r="C36" s="2" t="s">
        <v>69</v>
      </c>
    </row>
    <row r="37" ht="12.75">
      <c r="C37" s="2" t="s">
        <v>70</v>
      </c>
    </row>
  </sheetData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2"/>
  <sheetViews>
    <sheetView workbookViewId="0" topLeftCell="E70">
      <selection activeCell="L82" sqref="L82"/>
    </sheetView>
  </sheetViews>
  <sheetFormatPr defaultColWidth="8.796875" defaultRowHeight="15"/>
  <cols>
    <col min="1" max="1" width="2.59765625" style="21" customWidth="1"/>
    <col min="2" max="2" width="3.59765625" style="21" customWidth="1"/>
    <col min="3" max="3" width="33.09765625" style="21" customWidth="1"/>
    <col min="4" max="8" width="10.59765625" style="68" customWidth="1"/>
    <col min="9" max="9" width="10.59765625" style="72" customWidth="1"/>
    <col min="10" max="11" width="10.59765625" style="68" customWidth="1"/>
    <col min="12" max="16384" width="11.19921875" style="21" customWidth="1"/>
  </cols>
  <sheetData>
    <row r="1" ht="12.75">
      <c r="B1" s="1" t="s">
        <v>0</v>
      </c>
    </row>
    <row r="2" ht="12.75">
      <c r="J2" s="88" t="str">
        <f>+'BS'!H2</f>
        <v>Announced 31-3-05</v>
      </c>
    </row>
    <row r="3" spans="3:10" ht="12.75">
      <c r="C3" s="1" t="s">
        <v>85</v>
      </c>
      <c r="J3" s="88"/>
    </row>
    <row r="4" ht="12.75">
      <c r="C4" s="1" t="s">
        <v>132</v>
      </c>
    </row>
    <row r="5" spans="4:11" s="66" customFormat="1" ht="12.75">
      <c r="D5" s="65"/>
      <c r="E5" s="91" t="s">
        <v>86</v>
      </c>
      <c r="F5" s="91"/>
      <c r="G5" s="65"/>
      <c r="H5" s="65"/>
      <c r="I5" s="73" t="s">
        <v>87</v>
      </c>
      <c r="J5" s="65"/>
      <c r="K5" s="65"/>
    </row>
    <row r="6" ht="12.75">
      <c r="I6" s="73" t="s">
        <v>88</v>
      </c>
    </row>
    <row r="7" ht="6.75" customHeight="1">
      <c r="I7" s="73"/>
    </row>
    <row r="8" spans="4:10" ht="12.75">
      <c r="D8" s="67" t="s">
        <v>89</v>
      </c>
      <c r="E8" s="67" t="s">
        <v>90</v>
      </c>
      <c r="F8" s="67" t="s">
        <v>89</v>
      </c>
      <c r="G8" s="67" t="s">
        <v>91</v>
      </c>
      <c r="H8" s="67" t="s">
        <v>92</v>
      </c>
      <c r="I8" s="67" t="s">
        <v>93</v>
      </c>
      <c r="J8" s="67" t="s">
        <v>94</v>
      </c>
    </row>
    <row r="9" spans="3:11" ht="12.75">
      <c r="C9" s="74" t="s">
        <v>133</v>
      </c>
      <c r="D9" s="70" t="s">
        <v>90</v>
      </c>
      <c r="E9" s="70" t="s">
        <v>88</v>
      </c>
      <c r="F9" s="70" t="s">
        <v>95</v>
      </c>
      <c r="G9" s="70" t="s">
        <v>96</v>
      </c>
      <c r="H9" s="67" t="s">
        <v>97</v>
      </c>
      <c r="I9" s="67" t="s">
        <v>98</v>
      </c>
      <c r="J9" s="70" t="s">
        <v>99</v>
      </c>
      <c r="K9" s="70" t="s">
        <v>100</v>
      </c>
    </row>
    <row r="10" spans="3:11" ht="12.75">
      <c r="C10" s="74"/>
      <c r="D10" s="75"/>
      <c r="E10" s="75"/>
      <c r="F10" s="75"/>
      <c r="G10" s="75" t="s">
        <v>88</v>
      </c>
      <c r="H10" s="75" t="s">
        <v>101</v>
      </c>
      <c r="I10" s="76"/>
      <c r="J10" s="75"/>
      <c r="K10" s="75"/>
    </row>
    <row r="11" spans="3:14" ht="12.75">
      <c r="C11" s="77"/>
      <c r="D11" s="67" t="s">
        <v>73</v>
      </c>
      <c r="E11" s="67" t="s">
        <v>73</v>
      </c>
      <c r="F11" s="67" t="s">
        <v>57</v>
      </c>
      <c r="G11" s="67" t="s">
        <v>57</v>
      </c>
      <c r="H11" s="67" t="s">
        <v>73</v>
      </c>
      <c r="I11" s="67" t="s">
        <v>57</v>
      </c>
      <c r="J11" s="67" t="s">
        <v>73</v>
      </c>
      <c r="K11" s="67" t="s">
        <v>73</v>
      </c>
      <c r="N11" s="78"/>
    </row>
    <row r="13" spans="3:11" ht="12.75">
      <c r="C13" s="21" t="s">
        <v>121</v>
      </c>
      <c r="D13" s="68">
        <f>+D76</f>
        <v>600290</v>
      </c>
      <c r="E13" s="68">
        <f aca="true" t="shared" si="0" ref="E13:J13">+E76</f>
        <v>11201</v>
      </c>
      <c r="F13" s="68">
        <f t="shared" si="0"/>
        <v>124551</v>
      </c>
      <c r="G13" s="68">
        <f t="shared" si="0"/>
        <v>11773</v>
      </c>
      <c r="H13" s="68">
        <f t="shared" si="0"/>
        <v>31816</v>
      </c>
      <c r="I13" s="68">
        <f t="shared" si="0"/>
        <v>226410</v>
      </c>
      <c r="J13" s="68">
        <f t="shared" si="0"/>
        <v>-23</v>
      </c>
      <c r="K13" s="68">
        <f>SUM(D13:J13)</f>
        <v>1006018</v>
      </c>
    </row>
    <row r="14" ht="12.75">
      <c r="I14" s="79"/>
    </row>
    <row r="15" spans="3:9" ht="12.75">
      <c r="C15" s="92" t="s">
        <v>135</v>
      </c>
      <c r="I15" s="79"/>
    </row>
    <row r="16" spans="3:11" ht="12.75">
      <c r="C16" s="92"/>
      <c r="D16" s="71">
        <f>-H16</f>
        <v>12680</v>
      </c>
      <c r="E16" s="68">
        <f>0</f>
        <v>0</v>
      </c>
      <c r="F16" s="71">
        <v>0</v>
      </c>
      <c r="G16" s="68">
        <v>0</v>
      </c>
      <c r="H16" s="68">
        <f>-12680</f>
        <v>-12680</v>
      </c>
      <c r="I16" s="79">
        <v>0</v>
      </c>
      <c r="J16" s="68">
        <f>0</f>
        <v>0</v>
      </c>
      <c r="K16" s="68">
        <f>SUM(D16:I16)</f>
        <v>0</v>
      </c>
    </row>
    <row r="17" spans="4:9" ht="12.75">
      <c r="D17" s="71"/>
      <c r="F17" s="71"/>
      <c r="I17" s="79"/>
    </row>
    <row r="18" spans="3:9" ht="12.75">
      <c r="C18" s="92" t="s">
        <v>134</v>
      </c>
      <c r="D18" s="71"/>
      <c r="F18" s="71"/>
      <c r="I18" s="79"/>
    </row>
    <row r="19" spans="3:11" ht="12.75">
      <c r="C19" s="92"/>
      <c r="D19" s="68">
        <f>3804</f>
        <v>3804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f>SUM(D19:I19)</f>
        <v>3804</v>
      </c>
    </row>
    <row r="20" spans="3:9" ht="12.75">
      <c r="C20" s="80"/>
      <c r="I20" s="79"/>
    </row>
    <row r="21" spans="3:11" ht="12.75">
      <c r="C21" s="21" t="s">
        <v>102</v>
      </c>
      <c r="D21" s="68">
        <f>0</f>
        <v>0</v>
      </c>
      <c r="E21" s="68">
        <v>0</v>
      </c>
      <c r="F21" s="68">
        <v>0</v>
      </c>
      <c r="G21" s="68">
        <v>0</v>
      </c>
      <c r="H21" s="68">
        <f>0</f>
        <v>0</v>
      </c>
      <c r="I21" s="79">
        <v>0</v>
      </c>
      <c r="J21" s="68">
        <f>-5701</f>
        <v>-5701</v>
      </c>
      <c r="K21" s="68">
        <f>SUM(D21:J21)</f>
        <v>-5701</v>
      </c>
    </row>
    <row r="22" ht="12.75">
      <c r="I22" s="79"/>
    </row>
    <row r="23" spans="3:11" ht="12.75">
      <c r="C23" s="21" t="s">
        <v>103</v>
      </c>
      <c r="D23" s="68">
        <f>3093+1</f>
        <v>3094</v>
      </c>
      <c r="E23" s="68">
        <v>0</v>
      </c>
      <c r="F23" s="68">
        <v>0</v>
      </c>
      <c r="G23" s="68">
        <v>0</v>
      </c>
      <c r="H23" s="68">
        <v>0</v>
      </c>
      <c r="I23" s="79">
        <v>0</v>
      </c>
      <c r="J23" s="68">
        <v>0</v>
      </c>
      <c r="K23" s="68">
        <f>SUM(D23:J23)</f>
        <v>3094</v>
      </c>
    </row>
    <row r="24" ht="12.75">
      <c r="I24" s="79"/>
    </row>
    <row r="25" spans="3:11" ht="12.75">
      <c r="C25" s="21" t="s">
        <v>104</v>
      </c>
      <c r="D25" s="68">
        <f>0</f>
        <v>0</v>
      </c>
      <c r="E25" s="68">
        <f>0</f>
        <v>0</v>
      </c>
      <c r="F25" s="68">
        <v>0</v>
      </c>
      <c r="G25" s="68">
        <v>0</v>
      </c>
      <c r="H25" s="68">
        <f>0</f>
        <v>0</v>
      </c>
      <c r="I25" s="79">
        <v>0</v>
      </c>
      <c r="J25" s="68">
        <f>5862</f>
        <v>5862</v>
      </c>
      <c r="K25" s="68">
        <f>SUM(D25:J25)</f>
        <v>5862</v>
      </c>
    </row>
    <row r="26" ht="12.75">
      <c r="I26" s="79"/>
    </row>
    <row r="27" spans="3:11" ht="12.75">
      <c r="C27" s="21" t="s">
        <v>139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79">
        <v>0</v>
      </c>
      <c r="J27" s="68">
        <f>-138</f>
        <v>-138</v>
      </c>
      <c r="K27" s="68">
        <f>SUM(D27:J27)</f>
        <v>-138</v>
      </c>
    </row>
    <row r="28" ht="12.75">
      <c r="I28" s="79"/>
    </row>
    <row r="29" spans="3:11" ht="12.75">
      <c r="C29" s="21" t="s">
        <v>105</v>
      </c>
      <c r="D29" s="68">
        <f>0</f>
        <v>0</v>
      </c>
      <c r="E29" s="71">
        <v>0</v>
      </c>
      <c r="F29" s="68">
        <v>0</v>
      </c>
      <c r="G29" s="71">
        <f>-39</f>
        <v>-39</v>
      </c>
      <c r="H29" s="68">
        <f>0</f>
        <v>0</v>
      </c>
      <c r="I29" s="79">
        <v>0</v>
      </c>
      <c r="J29" s="68">
        <f>0</f>
        <v>0</v>
      </c>
      <c r="K29" s="68">
        <f>SUM(D29:J29)</f>
        <v>-39</v>
      </c>
    </row>
    <row r="30" spans="5:9" ht="12.75">
      <c r="E30" s="71"/>
      <c r="G30" s="71"/>
      <c r="I30" s="79"/>
    </row>
    <row r="31" spans="3:11" ht="12.75">
      <c r="C31" s="21" t="s">
        <v>119</v>
      </c>
      <c r="D31" s="71">
        <f>0</f>
        <v>0</v>
      </c>
      <c r="E31" s="71">
        <f>0</f>
        <v>0</v>
      </c>
      <c r="F31" s="71">
        <v>0</v>
      </c>
      <c r="G31" s="71">
        <v>0</v>
      </c>
      <c r="H31" s="71">
        <f>0</f>
        <v>0</v>
      </c>
      <c r="I31" s="79">
        <f>93010</f>
        <v>93010</v>
      </c>
      <c r="J31" s="71">
        <f>0</f>
        <v>0</v>
      </c>
      <c r="K31" s="71">
        <f>SUM(D31:J31)</f>
        <v>93010</v>
      </c>
    </row>
    <row r="32" spans="4:11" ht="12.75">
      <c r="D32" s="71"/>
      <c r="E32" s="71"/>
      <c r="F32" s="71"/>
      <c r="G32" s="71"/>
      <c r="H32" s="71"/>
      <c r="I32" s="79"/>
      <c r="J32" s="71"/>
      <c r="K32" s="71"/>
    </row>
    <row r="33" spans="3:11" ht="12.75">
      <c r="C33" s="21" t="s">
        <v>106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9">
        <f>-22508</f>
        <v>-22508</v>
      </c>
      <c r="J33" s="71">
        <v>0</v>
      </c>
      <c r="K33" s="71">
        <f>SUM(D33:J33)</f>
        <v>-22508</v>
      </c>
    </row>
    <row r="34" spans="4:11" ht="12.75">
      <c r="D34" s="69"/>
      <c r="E34" s="69"/>
      <c r="F34" s="69"/>
      <c r="G34" s="69"/>
      <c r="H34" s="69"/>
      <c r="I34" s="81"/>
      <c r="J34" s="69"/>
      <c r="K34" s="69"/>
    </row>
    <row r="35" spans="3:11" ht="12.75">
      <c r="C35" s="66" t="s">
        <v>143</v>
      </c>
      <c r="D35" s="82">
        <f>SUM(D13:D33)</f>
        <v>619868</v>
      </c>
      <c r="E35" s="82">
        <f>SUM(E13:E33)</f>
        <v>11201</v>
      </c>
      <c r="F35" s="82">
        <f aca="true" t="shared" si="1" ref="F35:K35">SUM(F13:F33)</f>
        <v>124551</v>
      </c>
      <c r="G35" s="82">
        <f t="shared" si="1"/>
        <v>11734</v>
      </c>
      <c r="H35" s="82">
        <f t="shared" si="1"/>
        <v>19136</v>
      </c>
      <c r="I35" s="82">
        <f t="shared" si="1"/>
        <v>296912</v>
      </c>
      <c r="J35" s="82">
        <f t="shared" si="1"/>
        <v>0</v>
      </c>
      <c r="K35" s="82">
        <f t="shared" si="1"/>
        <v>1083402</v>
      </c>
    </row>
    <row r="36" spans="4:12" ht="12.75">
      <c r="D36" s="71"/>
      <c r="E36" s="71"/>
      <c r="F36" s="71"/>
      <c r="G36" s="71"/>
      <c r="H36" s="71"/>
      <c r="J36" s="71"/>
      <c r="K36" s="71"/>
      <c r="L36" s="83"/>
    </row>
    <row r="37" spans="4:12" ht="12.75">
      <c r="D37" s="71"/>
      <c r="E37" s="71"/>
      <c r="F37" s="71"/>
      <c r="G37" s="71"/>
      <c r="H37" s="71"/>
      <c r="J37" s="71"/>
      <c r="K37" s="71"/>
      <c r="L37" s="83"/>
    </row>
    <row r="38" spans="3:12" ht="12.75">
      <c r="C38" s="74" t="s">
        <v>107</v>
      </c>
      <c r="D38" s="71"/>
      <c r="E38" s="71"/>
      <c r="F38" s="71"/>
      <c r="G38" s="71"/>
      <c r="H38" s="71"/>
      <c r="J38" s="71"/>
      <c r="K38" s="71"/>
      <c r="L38" s="83"/>
    </row>
    <row r="39" ht="12.75">
      <c r="I39" s="79"/>
    </row>
    <row r="40" spans="3:11" ht="12.75">
      <c r="C40" s="21" t="s">
        <v>108</v>
      </c>
      <c r="D40" s="68">
        <f>215300</f>
        <v>215300</v>
      </c>
      <c r="E40" s="68">
        <v>11901</v>
      </c>
      <c r="F40" s="68">
        <v>158400</v>
      </c>
      <c r="G40" s="68">
        <v>11782</v>
      </c>
      <c r="H40" s="68">
        <v>0</v>
      </c>
      <c r="I40" s="68">
        <v>177874</v>
      </c>
      <c r="J40" s="68">
        <f>-120</f>
        <v>-120</v>
      </c>
      <c r="K40" s="68">
        <f>SUM(D40:J40)</f>
        <v>575137</v>
      </c>
    </row>
    <row r="41" ht="12.75">
      <c r="I41" s="79"/>
    </row>
    <row r="42" spans="3:11" ht="12.75">
      <c r="C42" s="21" t="s">
        <v>109</v>
      </c>
      <c r="D42" s="71">
        <v>219314</v>
      </c>
      <c r="E42" s="68">
        <f>0</f>
        <v>0</v>
      </c>
      <c r="F42" s="71">
        <v>0</v>
      </c>
      <c r="G42" s="68">
        <v>0</v>
      </c>
      <c r="H42" s="68">
        <f>0</f>
        <v>0</v>
      </c>
      <c r="I42" s="68">
        <v>0</v>
      </c>
      <c r="J42" s="68">
        <f>0</f>
        <v>0</v>
      </c>
      <c r="K42" s="68">
        <f>SUM(D42:J42)</f>
        <v>219314</v>
      </c>
    </row>
    <row r="43" spans="4:9" ht="12.75">
      <c r="D43" s="71"/>
      <c r="F43" s="71"/>
      <c r="I43" s="79"/>
    </row>
    <row r="44" spans="3:11" ht="12.75">
      <c r="C44" s="21" t="s">
        <v>110</v>
      </c>
      <c r="D44" s="71">
        <v>500</v>
      </c>
      <c r="E44" s="68">
        <f>0</f>
        <v>0</v>
      </c>
      <c r="F44" s="71">
        <v>49500</v>
      </c>
      <c r="G44" s="68">
        <v>0</v>
      </c>
      <c r="H44" s="68">
        <f>0</f>
        <v>0</v>
      </c>
      <c r="I44" s="79">
        <v>0</v>
      </c>
      <c r="J44" s="68">
        <f>0</f>
        <v>0</v>
      </c>
      <c r="K44" s="68">
        <f>SUM(D44:J44)</f>
        <v>50000</v>
      </c>
    </row>
    <row r="45" spans="4:9" ht="12.75">
      <c r="D45" s="71"/>
      <c r="F45" s="71"/>
      <c r="I45" s="79"/>
    </row>
    <row r="46" spans="3:11" ht="12.75">
      <c r="C46" s="21" t="s">
        <v>111</v>
      </c>
      <c r="D46" s="71">
        <v>49500</v>
      </c>
      <c r="E46" s="68">
        <v>0</v>
      </c>
      <c r="F46" s="71">
        <v>-49500</v>
      </c>
      <c r="G46" s="68">
        <v>0</v>
      </c>
      <c r="H46" s="68">
        <v>0</v>
      </c>
      <c r="I46" s="68">
        <v>0</v>
      </c>
      <c r="J46" s="68">
        <v>0</v>
      </c>
      <c r="K46" s="68">
        <f>SUM(D46:J46)</f>
        <v>0</v>
      </c>
    </row>
    <row r="47" spans="4:9" ht="12.75">
      <c r="D47" s="71"/>
      <c r="F47" s="71"/>
      <c r="I47" s="79"/>
    </row>
    <row r="48" spans="3:11" ht="12.75">
      <c r="C48" s="21" t="s">
        <v>112</v>
      </c>
      <c r="D48" s="71">
        <v>54439</v>
      </c>
      <c r="E48" s="68">
        <v>0</v>
      </c>
      <c r="F48" s="71">
        <v>0</v>
      </c>
      <c r="G48" s="68">
        <v>0</v>
      </c>
      <c r="H48" s="68">
        <v>0</v>
      </c>
      <c r="I48" s="79">
        <v>0</v>
      </c>
      <c r="J48" s="68">
        <v>0</v>
      </c>
      <c r="K48" s="68">
        <f>SUM(D48:J48)</f>
        <v>54439</v>
      </c>
    </row>
    <row r="49" spans="4:9" ht="12.75">
      <c r="D49" s="71"/>
      <c r="F49" s="71"/>
      <c r="I49" s="79"/>
    </row>
    <row r="50" spans="3:11" ht="12.75">
      <c r="C50" s="21" t="s">
        <v>113</v>
      </c>
      <c r="D50" s="71">
        <v>9674</v>
      </c>
      <c r="E50" s="68">
        <v>0</v>
      </c>
      <c r="F50" s="71">
        <v>0</v>
      </c>
      <c r="G50" s="68">
        <v>0</v>
      </c>
      <c r="H50" s="68">
        <v>0</v>
      </c>
      <c r="I50" s="68">
        <v>0</v>
      </c>
      <c r="J50" s="68">
        <v>0</v>
      </c>
      <c r="K50" s="68">
        <f>SUM(D50:J50)</f>
        <v>9674</v>
      </c>
    </row>
    <row r="51" spans="4:9" ht="12.75">
      <c r="D51" s="71"/>
      <c r="F51" s="71"/>
      <c r="I51" s="79"/>
    </row>
    <row r="52" spans="3:11" ht="12.75">
      <c r="C52" s="21" t="s">
        <v>114</v>
      </c>
      <c r="D52" s="71">
        <v>59187</v>
      </c>
      <c r="E52" s="68">
        <v>0</v>
      </c>
      <c r="F52" s="71">
        <v>0</v>
      </c>
      <c r="G52" s="68">
        <v>0</v>
      </c>
      <c r="H52" s="68">
        <v>0</v>
      </c>
      <c r="I52" s="79">
        <v>0</v>
      </c>
      <c r="J52" s="68">
        <v>0</v>
      </c>
      <c r="K52" s="68">
        <f>SUM(D52:J52)</f>
        <v>59187</v>
      </c>
    </row>
    <row r="53" spans="4:9" ht="12.75">
      <c r="D53" s="71"/>
      <c r="F53" s="71"/>
      <c r="I53" s="79"/>
    </row>
    <row r="54" spans="3:11" ht="12.75">
      <c r="C54" s="21" t="s">
        <v>115</v>
      </c>
      <c r="D54" s="71">
        <f>-7624</f>
        <v>-7624</v>
      </c>
      <c r="E54" s="68">
        <f>0</f>
        <v>0</v>
      </c>
      <c r="F54" s="71">
        <v>0</v>
      </c>
      <c r="G54" s="68">
        <v>0</v>
      </c>
      <c r="H54" s="68">
        <f>0</f>
        <v>0</v>
      </c>
      <c r="I54" s="79">
        <v>0</v>
      </c>
      <c r="J54" s="68">
        <f>0</f>
        <v>0</v>
      </c>
      <c r="K54" s="68">
        <f>SUM(D54:J54)</f>
        <v>-7624</v>
      </c>
    </row>
    <row r="55" ht="12.75">
      <c r="I55" s="79"/>
    </row>
    <row r="56" spans="3:11" ht="12.75">
      <c r="C56" s="21" t="s">
        <v>105</v>
      </c>
      <c r="D56" s="68">
        <f>0</f>
        <v>0</v>
      </c>
      <c r="E56" s="68">
        <v>0</v>
      </c>
      <c r="F56" s="68">
        <v>0</v>
      </c>
      <c r="G56" s="71">
        <f>-9</f>
        <v>-9</v>
      </c>
      <c r="H56" s="68">
        <f>0</f>
        <v>0</v>
      </c>
      <c r="I56" s="79">
        <v>0</v>
      </c>
      <c r="J56" s="68">
        <f>0</f>
        <v>0</v>
      </c>
      <c r="K56" s="71">
        <f>SUM(D56:J56)</f>
        <v>-9</v>
      </c>
    </row>
    <row r="57" ht="12.75">
      <c r="I57" s="79"/>
    </row>
    <row r="58" spans="3:11" ht="12.75">
      <c r="C58" s="21" t="s">
        <v>102</v>
      </c>
      <c r="D58" s="68">
        <f>0</f>
        <v>0</v>
      </c>
      <c r="E58" s="68">
        <f>0</f>
        <v>0</v>
      </c>
      <c r="F58" s="68">
        <v>0</v>
      </c>
      <c r="G58" s="68">
        <v>0</v>
      </c>
      <c r="H58" s="68">
        <f>0</f>
        <v>0</v>
      </c>
      <c r="I58" s="79">
        <v>0</v>
      </c>
      <c r="J58" s="68">
        <f>-80</f>
        <v>-80</v>
      </c>
      <c r="K58" s="71">
        <f>SUM(D58:J58)</f>
        <v>-80</v>
      </c>
    </row>
    <row r="59" ht="12.75">
      <c r="I59" s="79"/>
    </row>
    <row r="60" spans="3:11" ht="12.75">
      <c r="C60" s="21" t="s">
        <v>104</v>
      </c>
      <c r="D60" s="68">
        <f>0</f>
        <v>0</v>
      </c>
      <c r="E60" s="68">
        <v>0</v>
      </c>
      <c r="F60" s="68">
        <v>0</v>
      </c>
      <c r="G60" s="68">
        <v>0</v>
      </c>
      <c r="H60" s="68">
        <f>0</f>
        <v>0</v>
      </c>
      <c r="I60" s="79">
        <v>0</v>
      </c>
      <c r="J60" s="68">
        <f>177</f>
        <v>177</v>
      </c>
      <c r="K60" s="71">
        <f>SUM(D60:J60)</f>
        <v>177</v>
      </c>
    </row>
    <row r="61" ht="12.75">
      <c r="I61" s="79"/>
    </row>
    <row r="62" spans="3:9" ht="12.75">
      <c r="C62" s="92" t="s">
        <v>116</v>
      </c>
      <c r="D62" s="68" t="s">
        <v>21</v>
      </c>
      <c r="E62" s="68" t="s">
        <v>21</v>
      </c>
      <c r="I62" s="79"/>
    </row>
    <row r="63" spans="3:11" ht="12.75">
      <c r="C63" s="92"/>
      <c r="D63" s="68">
        <f>0</f>
        <v>0</v>
      </c>
      <c r="E63" s="68">
        <v>0</v>
      </c>
      <c r="F63" s="71">
        <f>-33849</f>
        <v>-33849</v>
      </c>
      <c r="G63" s="71">
        <v>0</v>
      </c>
      <c r="H63" s="68">
        <v>0</v>
      </c>
      <c r="I63" s="68">
        <v>0</v>
      </c>
      <c r="J63" s="68">
        <v>0</v>
      </c>
      <c r="K63" s="71">
        <f>SUM(D63:J63)</f>
        <v>-33849</v>
      </c>
    </row>
    <row r="64" spans="5:9" ht="12.75">
      <c r="E64" s="71"/>
      <c r="G64" s="71"/>
      <c r="I64" s="79"/>
    </row>
    <row r="65" spans="3:11" ht="12.75">
      <c r="C65" s="21" t="s">
        <v>117</v>
      </c>
      <c r="D65" s="68">
        <v>0</v>
      </c>
      <c r="E65" s="68">
        <v>0</v>
      </c>
      <c r="F65" s="68">
        <v>0</v>
      </c>
      <c r="G65" s="68">
        <v>0</v>
      </c>
      <c r="H65" s="68">
        <v>31816</v>
      </c>
      <c r="I65" s="79">
        <v>0</v>
      </c>
      <c r="J65" s="68">
        <v>0</v>
      </c>
      <c r="K65" s="71">
        <f>SUM(D65:J65)</f>
        <v>31816</v>
      </c>
    </row>
    <row r="66" spans="5:9" ht="12.75">
      <c r="E66" s="71"/>
      <c r="G66" s="71"/>
      <c r="I66" s="79"/>
    </row>
    <row r="67" spans="3:9" ht="12.75">
      <c r="C67" s="93" t="s">
        <v>118</v>
      </c>
      <c r="E67" s="71"/>
      <c r="G67" s="71"/>
      <c r="I67" s="79"/>
    </row>
    <row r="68" spans="3:11" ht="12.75">
      <c r="C68" s="93"/>
      <c r="D68" s="68">
        <f>0</f>
        <v>0</v>
      </c>
      <c r="E68" s="71">
        <f>-700</f>
        <v>-700</v>
      </c>
      <c r="F68" s="68">
        <v>0</v>
      </c>
      <c r="G68" s="71">
        <v>0</v>
      </c>
      <c r="H68" s="68">
        <v>0</v>
      </c>
      <c r="I68" s="79">
        <v>700</v>
      </c>
      <c r="J68" s="68">
        <v>0</v>
      </c>
      <c r="K68" s="71">
        <f>SUM(D68:J68)</f>
        <v>0</v>
      </c>
    </row>
    <row r="69" spans="3:9" ht="12.75">
      <c r="C69" s="84"/>
      <c r="E69" s="71"/>
      <c r="G69" s="71"/>
      <c r="I69" s="79"/>
    </row>
    <row r="70" spans="3:11" s="83" customFormat="1" ht="12.75">
      <c r="C70" s="83" t="s">
        <v>119</v>
      </c>
      <c r="D70" s="71">
        <f>0</f>
        <v>0</v>
      </c>
      <c r="E70" s="71">
        <f>0</f>
        <v>0</v>
      </c>
      <c r="F70" s="71">
        <v>0</v>
      </c>
      <c r="G70" s="71">
        <v>0</v>
      </c>
      <c r="H70" s="71">
        <f>0</f>
        <v>0</v>
      </c>
      <c r="I70" s="71">
        <f>54033+198</f>
        <v>54231</v>
      </c>
      <c r="J70" s="71">
        <f>0</f>
        <v>0</v>
      </c>
      <c r="K70" s="71">
        <f>SUM(D70:J70)</f>
        <v>54231</v>
      </c>
    </row>
    <row r="71" spans="4:11" s="83" customFormat="1" ht="12.75">
      <c r="D71" s="71"/>
      <c r="E71" s="71"/>
      <c r="F71" s="71"/>
      <c r="G71" s="71"/>
      <c r="H71" s="71"/>
      <c r="I71" s="71"/>
      <c r="J71" s="71"/>
      <c r="K71" s="71"/>
    </row>
    <row r="72" spans="3:11" s="83" customFormat="1" ht="12.75" hidden="1">
      <c r="C72" s="83" t="s">
        <v>140</v>
      </c>
      <c r="D72" s="71"/>
      <c r="E72" s="71"/>
      <c r="F72" s="71"/>
      <c r="G72" s="71"/>
      <c r="H72" s="71"/>
      <c r="I72" s="71">
        <v>-198</v>
      </c>
      <c r="J72" s="71"/>
      <c r="K72" s="71">
        <f>+I72</f>
        <v>-198</v>
      </c>
    </row>
    <row r="73" spans="4:11" s="83" customFormat="1" ht="12.75" hidden="1">
      <c r="D73" s="71"/>
      <c r="E73" s="71"/>
      <c r="F73" s="71"/>
      <c r="G73" s="71"/>
      <c r="H73" s="71"/>
      <c r="I73" s="71"/>
      <c r="J73" s="71"/>
      <c r="K73" s="71"/>
    </row>
    <row r="74" spans="3:11" s="83" customFormat="1" ht="12.75">
      <c r="C74" s="83" t="s">
        <v>120</v>
      </c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-6197</v>
      </c>
      <c r="J74" s="71">
        <v>0</v>
      </c>
      <c r="K74" s="71">
        <f>SUM(D74:J74)</f>
        <v>-6197</v>
      </c>
    </row>
    <row r="75" spans="3:11" ht="12.75">
      <c r="C75" s="83"/>
      <c r="D75" s="69"/>
      <c r="E75" s="69"/>
      <c r="F75" s="69"/>
      <c r="G75" s="69"/>
      <c r="H75" s="69"/>
      <c r="I75" s="69"/>
      <c r="J75" s="69"/>
      <c r="K75" s="69"/>
    </row>
    <row r="76" spans="3:11" ht="12.75">
      <c r="C76" s="66" t="s">
        <v>121</v>
      </c>
      <c r="D76" s="82">
        <f>SUM(D40:D75)</f>
        <v>600290</v>
      </c>
      <c r="E76" s="82">
        <f>SUM(E40:E75)</f>
        <v>11201</v>
      </c>
      <c r="F76" s="82">
        <f aca="true" t="shared" si="2" ref="F76:K76">SUM(F40:F75)</f>
        <v>124551</v>
      </c>
      <c r="G76" s="82">
        <f t="shared" si="2"/>
        <v>11773</v>
      </c>
      <c r="H76" s="82">
        <f t="shared" si="2"/>
        <v>31816</v>
      </c>
      <c r="I76" s="82">
        <f t="shared" si="2"/>
        <v>226410</v>
      </c>
      <c r="J76" s="82">
        <f t="shared" si="2"/>
        <v>-23</v>
      </c>
      <c r="K76" s="82">
        <f t="shared" si="2"/>
        <v>1006018</v>
      </c>
    </row>
    <row r="77" spans="9:11" ht="12.75">
      <c r="I77" s="68"/>
      <c r="K77" s="68" t="s">
        <v>21</v>
      </c>
    </row>
    <row r="81" spans="4:6" ht="12.75">
      <c r="D81" s="21" t="s">
        <v>84</v>
      </c>
      <c r="F81" s="21"/>
    </row>
    <row r="82" spans="4:6" ht="12.75">
      <c r="D82" s="21" t="s">
        <v>51</v>
      </c>
      <c r="F82" s="21"/>
    </row>
  </sheetData>
  <mergeCells count="5">
    <mergeCell ref="E5:F5"/>
    <mergeCell ref="C62:C63"/>
    <mergeCell ref="C67:C68"/>
    <mergeCell ref="C15:C16"/>
    <mergeCell ref="C18:C19"/>
  </mergeCells>
  <printOptions/>
  <pageMargins left="0.37" right="0.31" top="0.29" bottom="0.3" header="0.17" footer="0.17"/>
  <pageSetup fitToHeight="1" fitToWidth="1"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5"/>
  <sheetViews>
    <sheetView tabSelected="1" workbookViewId="0" topLeftCell="A1">
      <pane xSplit="5" ySplit="3" topLeftCell="F19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24" sqref="F24"/>
    </sheetView>
  </sheetViews>
  <sheetFormatPr defaultColWidth="8.796875" defaultRowHeight="15"/>
  <cols>
    <col min="1" max="1" width="2.59765625" style="46" customWidth="1"/>
    <col min="2" max="2" width="2.59765625" style="45" customWidth="1"/>
    <col min="3" max="3" width="1.59765625" style="46" customWidth="1"/>
    <col min="4" max="4" width="25.59765625" style="46" customWidth="1"/>
    <col min="5" max="5" width="32.59765625" style="46" customWidth="1"/>
    <col min="6" max="6" width="12.59765625" style="47" customWidth="1"/>
    <col min="7" max="7" width="12.59765625" style="48" customWidth="1"/>
    <col min="8" max="8" width="11.09765625" style="48" customWidth="1"/>
    <col min="9" max="9" width="11.09765625" style="46" customWidth="1"/>
    <col min="10" max="16384" width="9" style="46" customWidth="1"/>
  </cols>
  <sheetData>
    <row r="1" spans="2:6" ht="15.75">
      <c r="B1" s="45" t="s">
        <v>71</v>
      </c>
      <c r="F1" s="46"/>
    </row>
    <row r="2" ht="15.75">
      <c r="F2" s="90" t="s">
        <v>141</v>
      </c>
    </row>
    <row r="3" ht="15.75">
      <c r="F3" s="90"/>
    </row>
    <row r="4" ht="15.75">
      <c r="B4" s="45" t="s">
        <v>72</v>
      </c>
    </row>
    <row r="5" spans="2:8" s="50" customFormat="1" ht="15.75">
      <c r="B5" s="49" t="s">
        <v>131</v>
      </c>
      <c r="F5" s="51" t="s">
        <v>73</v>
      </c>
      <c r="G5" s="52"/>
      <c r="H5" s="52"/>
    </row>
    <row r="6" spans="2:8" s="50" customFormat="1" ht="15.75">
      <c r="B6" s="53"/>
      <c r="F6" s="54" t="s">
        <v>21</v>
      </c>
      <c r="G6" s="52"/>
      <c r="H6" s="52"/>
    </row>
    <row r="7" spans="3:7" ht="15.75">
      <c r="C7" s="46" t="s">
        <v>74</v>
      </c>
      <c r="F7" s="55">
        <f>5350-39</f>
        <v>5311</v>
      </c>
      <c r="G7" s="56" t="s">
        <v>21</v>
      </c>
    </row>
    <row r="8" ht="15.75">
      <c r="F8" s="55"/>
    </row>
    <row r="9" spans="3:6" ht="15.75">
      <c r="C9" s="46" t="s">
        <v>75</v>
      </c>
      <c r="F9" s="55">
        <f>-159060</f>
        <v>-159060</v>
      </c>
    </row>
    <row r="10" ht="15.75">
      <c r="F10" s="55"/>
    </row>
    <row r="11" spans="3:6" ht="15.75">
      <c r="C11" s="46" t="s">
        <v>76</v>
      </c>
      <c r="F11" s="55">
        <f>161392</f>
        <v>161392</v>
      </c>
    </row>
    <row r="12" ht="15.75">
      <c r="F12" s="57"/>
    </row>
    <row r="13" spans="2:6" ht="15.75">
      <c r="B13" s="45" t="s">
        <v>77</v>
      </c>
      <c r="F13" s="55">
        <f>SUM(F7:F12)</f>
        <v>7643</v>
      </c>
    </row>
    <row r="14" ht="15.75">
      <c r="F14" s="55"/>
    </row>
    <row r="15" spans="2:6" ht="15.75">
      <c r="B15" s="45" t="s">
        <v>78</v>
      </c>
      <c r="F15" s="55">
        <v>102133</v>
      </c>
    </row>
    <row r="16" ht="15.75">
      <c r="F16" s="55"/>
    </row>
    <row r="17" spans="2:6" ht="15.75">
      <c r="B17" s="45" t="s">
        <v>79</v>
      </c>
      <c r="F17" s="58">
        <f>+F13+F15</f>
        <v>109776</v>
      </c>
    </row>
    <row r="18" ht="15.75">
      <c r="F18" s="55">
        <f>F17-F28</f>
        <v>0</v>
      </c>
    </row>
    <row r="20" ht="15.75">
      <c r="B20" s="45" t="s">
        <v>142</v>
      </c>
    </row>
    <row r="21" ht="15.75">
      <c r="C21" s="46" t="s">
        <v>21</v>
      </c>
    </row>
    <row r="22" spans="4:6" ht="15.75">
      <c r="D22" s="46" t="s">
        <v>80</v>
      </c>
      <c r="F22" s="59">
        <f>14274</f>
        <v>14274</v>
      </c>
    </row>
    <row r="23" spans="4:6" ht="15.75">
      <c r="D23" s="46" t="s">
        <v>81</v>
      </c>
      <c r="F23" s="60">
        <f>210174</f>
        <v>210174</v>
      </c>
    </row>
    <row r="24" ht="15.75">
      <c r="F24" s="59">
        <f>SUM(F20:F23)</f>
        <v>224448</v>
      </c>
    </row>
    <row r="25" spans="4:6" ht="15.75">
      <c r="D25" s="46" t="s">
        <v>82</v>
      </c>
      <c r="F25" s="59">
        <f>-20060</f>
        <v>-20060</v>
      </c>
    </row>
    <row r="26" ht="15.75">
      <c r="F26" s="61">
        <f>SUM(F24:F25)</f>
        <v>204388</v>
      </c>
    </row>
    <row r="27" spans="2:6" ht="15.75">
      <c r="B27" s="62"/>
      <c r="C27" s="48"/>
      <c r="D27" s="48" t="s">
        <v>83</v>
      </c>
      <c r="E27" s="48"/>
      <c r="F27" s="63">
        <f>-94612</f>
        <v>-94612</v>
      </c>
    </row>
    <row r="28" spans="2:6" ht="16.5" thickBot="1">
      <c r="B28" s="62"/>
      <c r="C28" s="48"/>
      <c r="D28" s="48"/>
      <c r="E28" s="48"/>
      <c r="F28" s="64">
        <f>+F26+F27</f>
        <v>109776</v>
      </c>
    </row>
    <row r="29" spans="2:6" ht="16.5" thickTop="1">
      <c r="B29" s="62"/>
      <c r="C29" s="48"/>
      <c r="D29" s="48"/>
      <c r="E29" s="48"/>
      <c r="F29" s="55"/>
    </row>
    <row r="30" spans="2:6" ht="15.75">
      <c r="B30" s="62"/>
      <c r="C30" s="48"/>
      <c r="D30" s="48"/>
      <c r="E30" s="48"/>
      <c r="F30" s="55"/>
    </row>
    <row r="31" spans="2:6" ht="15.75">
      <c r="B31" s="62"/>
      <c r="C31" s="48"/>
      <c r="D31" s="21" t="s">
        <v>84</v>
      </c>
      <c r="E31" s="21"/>
      <c r="F31" s="55"/>
    </row>
    <row r="32" spans="2:6" ht="15.75">
      <c r="B32" s="62"/>
      <c r="C32" s="48"/>
      <c r="D32" s="21" t="s">
        <v>51</v>
      </c>
      <c r="E32" s="21"/>
      <c r="F32" s="55"/>
    </row>
    <row r="33" spans="2:6" ht="15.75">
      <c r="B33" s="62"/>
      <c r="C33" s="48"/>
      <c r="D33" s="48"/>
      <c r="E33" s="48"/>
      <c r="F33" s="55"/>
    </row>
    <row r="34" spans="2:6" ht="15.75">
      <c r="B34" s="62"/>
      <c r="C34" s="48"/>
      <c r="D34" s="48"/>
      <c r="E34" s="48"/>
      <c r="F34" s="55"/>
    </row>
    <row r="35" spans="2:6" ht="15.75">
      <c r="B35" s="62"/>
      <c r="C35" s="48"/>
      <c r="D35" s="48"/>
      <c r="E35" s="48"/>
      <c r="F35" s="55"/>
    </row>
  </sheetData>
  <printOptions/>
  <pageMargins left="0.75" right="0.75" top="0.57" bottom="0.73" header="0.28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TCB Resources Sdn Bhd</cp:lastModifiedBy>
  <cp:lastPrinted>2005-03-31T06:58:10Z</cp:lastPrinted>
  <dcterms:created xsi:type="dcterms:W3CDTF">2004-12-14T03:35:39Z</dcterms:created>
  <dcterms:modified xsi:type="dcterms:W3CDTF">2005-03-31T09:19:04Z</dcterms:modified>
  <cp:category/>
  <cp:version/>
  <cp:contentType/>
  <cp:contentStatus/>
</cp:coreProperties>
</file>